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Roeder-Wetzel\Open Data\Schulstatistik 2018-19\"/>
    </mc:Choice>
  </mc:AlternateContent>
  <bookViews>
    <workbookView xWindow="120" yWindow="90" windowWidth="9420" windowHeight="4965" tabRatio="984" activeTab="4"/>
  </bookViews>
  <sheets>
    <sheet name="Übersicht" sheetId="1" r:id="rId1"/>
    <sheet name="Anlage 1a" sheetId="3" r:id="rId2"/>
    <sheet name="Anlage 1b" sheetId="4" r:id="rId3"/>
    <sheet name="Anlage 1c" sheetId="5" r:id="rId4"/>
    <sheet name="Anlage 1d" sheetId="6" r:id="rId5"/>
    <sheet name="Anlage 1e" sheetId="57" r:id="rId6"/>
    <sheet name="Anlage 1f" sheetId="58" r:id="rId7"/>
    <sheet name="Anlage 1g" sheetId="59" r:id="rId8"/>
    <sheet name="Anlage 1.2" sheetId="54" r:id="rId9"/>
    <sheet name="Anlage 2 a" sheetId="56" r:id="rId10"/>
    <sheet name="Anlage 5.1" sheetId="16" r:id="rId11"/>
    <sheet name="Anlage 5.2" sheetId="19" r:id="rId12"/>
    <sheet name="Anlage 5.3" sheetId="22" r:id="rId13"/>
    <sheet name="Anlage 5.4" sheetId="25" r:id="rId14"/>
    <sheet name="Anlage 5.5" sheetId="28" r:id="rId15"/>
    <sheet name="Anlage 6.1" sheetId="31" r:id="rId16"/>
    <sheet name="Anlage 6.2" sheetId="32" r:id="rId17"/>
    <sheet name="Anlage 6.3" sheetId="33" r:id="rId18"/>
    <sheet name="Anlage 6.4" sheetId="34" r:id="rId19"/>
    <sheet name="Anlage 6.5" sheetId="53" r:id="rId20"/>
    <sheet name="Anlage 6.6" sheetId="35" r:id="rId21"/>
    <sheet name="Anlage 6.7" sheetId="36" r:id="rId22"/>
    <sheet name="Anlage 6.8" sheetId="37" r:id="rId23"/>
    <sheet name="Anlage 6.9" sheetId="38" r:id="rId24"/>
    <sheet name="Anlage 6.10" sheetId="39" r:id="rId25"/>
    <sheet name="Anlage 6.11" sheetId="40" r:id="rId26"/>
    <sheet name="Anlage 6.12" sheetId="41" r:id="rId27"/>
    <sheet name="Anlage 6.13" sheetId="42" r:id="rId28"/>
    <sheet name="Anlage 6.14" sheetId="43" r:id="rId29"/>
    <sheet name="Anlage 6.15" sheetId="44" r:id="rId30"/>
    <sheet name="Anlage 6.16" sheetId="45" r:id="rId31"/>
    <sheet name="Anlage 6.17" sheetId="46" r:id="rId32"/>
    <sheet name="Anlage 6.18" sheetId="47" r:id="rId33"/>
    <sheet name="Anlage 6.19" sheetId="48" r:id="rId34"/>
  </sheets>
  <definedNames>
    <definedName name="_xlnm.Print_Area" localSheetId="8">'Anlage 1.2'!$A$1:$AI$47</definedName>
    <definedName name="_xlnm.Print_Area" localSheetId="1">'Anlage 1a'!$A$1:$AK$57</definedName>
    <definedName name="_xlnm.Print_Area" localSheetId="2">'Anlage 1b'!$A$1:$AK$47</definedName>
    <definedName name="_xlnm.Print_Area" localSheetId="3">'Anlage 1c'!$A$1:$AK$47</definedName>
    <definedName name="_xlnm.Print_Area" localSheetId="4">'Anlage 1d'!$A$1:$AK$47</definedName>
    <definedName name="_xlnm.Print_Area" localSheetId="9">'Anlage 2 a'!$A$1:$K$50</definedName>
    <definedName name="_xlnm.Print_Area" localSheetId="10">'Anlage 5.1'!$A$1:$J$46</definedName>
    <definedName name="_xlnm.Print_Area" localSheetId="11">'Anlage 5.2'!$A$1:$J$46</definedName>
    <definedName name="_xlnm.Print_Area" localSheetId="12">'Anlage 5.3'!$A$1:$J$46</definedName>
    <definedName name="_xlnm.Print_Area" localSheetId="13">'Anlage 5.4'!$A$1:$J$46</definedName>
    <definedName name="_xlnm.Print_Area" localSheetId="14">'Anlage 5.5'!$A$1:$I$42</definedName>
    <definedName name="_xlnm.Print_Area" localSheetId="15">'Anlage 6.1'!$A$1:$P$31</definedName>
    <definedName name="_xlnm.Print_Area" localSheetId="24">'Anlage 6.10'!$A$1:$O$25</definedName>
    <definedName name="_xlnm.Print_Area" localSheetId="25">'Anlage 6.11'!$A$1:$O$25</definedName>
    <definedName name="_xlnm.Print_Area" localSheetId="26">'Anlage 6.12'!$A$1:$P$24</definedName>
    <definedName name="_xlnm.Print_Area" localSheetId="27">'Anlage 6.13'!$A$1:$P$27</definedName>
    <definedName name="_xlnm.Print_Area" localSheetId="28">'Anlage 6.14'!$A$1:$O$25</definedName>
    <definedName name="_xlnm.Print_Area" localSheetId="29">'Anlage 6.15'!$A$1:$P$27</definedName>
    <definedName name="_xlnm.Print_Area" localSheetId="30">'Anlage 6.16'!$A$1:$P$22</definedName>
    <definedName name="_xlnm.Print_Area" localSheetId="31">'Anlage 6.17'!$A$1:$P$25</definedName>
    <definedName name="_xlnm.Print_Area" localSheetId="32">'Anlage 6.18'!$A$1:$Q$21</definedName>
    <definedName name="_xlnm.Print_Area" localSheetId="33">'Anlage 6.19'!$A$1:$Q$23</definedName>
    <definedName name="_xlnm.Print_Area" localSheetId="16">'Anlage 6.2'!$A$1:$P$30</definedName>
    <definedName name="_xlnm.Print_Area" localSheetId="17">'Anlage 6.3'!$A$1:$P$31</definedName>
    <definedName name="_xlnm.Print_Area" localSheetId="18">'Anlage 6.4'!$A$1:$P$31</definedName>
    <definedName name="_xlnm.Print_Area" localSheetId="19">'Anlage 6.5'!$A$1:$P$31</definedName>
    <definedName name="_xlnm.Print_Area" localSheetId="20">'Anlage 6.6'!$A$1:$P$24</definedName>
    <definedName name="_xlnm.Print_Area" localSheetId="21">'Anlage 6.7'!$A$1:$P$24</definedName>
    <definedName name="_xlnm.Print_Area" localSheetId="22">'Anlage 6.8'!$A$1:$P$24</definedName>
    <definedName name="_xlnm.Print_Area" localSheetId="23">'Anlage 6.9'!$A$1:$P$24</definedName>
    <definedName name="_xlnm.Print_Area" localSheetId="0">Übersicht!$A$1:$L$36</definedName>
    <definedName name="Z_0224233B_564D_4BBC_A6B2_E639E6D2CFB3_.wvu.Cols" localSheetId="10" hidden="1">'Anlage 5.1'!$E:$E</definedName>
    <definedName name="Z_0224233B_564D_4BBC_A6B2_E639E6D2CFB3_.wvu.Cols" localSheetId="11" hidden="1">'Anlage 5.2'!$F:$F</definedName>
    <definedName name="Z_0224233B_564D_4BBC_A6B2_E639E6D2CFB3_.wvu.Cols" localSheetId="33" hidden="1">'Anlage 6.19'!#REF!</definedName>
    <definedName name="Z_0224233B_564D_4BBC_A6B2_E639E6D2CFB3_.wvu.PrintArea" localSheetId="24" hidden="1">'Anlage 6.10'!$A$1:$O$25</definedName>
    <definedName name="Z_0224233B_564D_4BBC_A6B2_E639E6D2CFB3_.wvu.PrintArea" localSheetId="25" hidden="1">'Anlage 6.11'!$A$1:$O$25</definedName>
    <definedName name="Z_0224233B_564D_4BBC_A6B2_E639E6D2CFB3_.wvu.PrintArea" localSheetId="28" hidden="1">'Anlage 6.14'!$A$1:$O$25</definedName>
    <definedName name="Z_0224233B_564D_4BBC_A6B2_E639E6D2CFB3_.wvu.PrintArea" localSheetId="31" hidden="1">'Anlage 6.17'!$A$1:$Q$25</definedName>
    <definedName name="Z_0224233B_564D_4BBC_A6B2_E639E6D2CFB3_.wvu.Rows" localSheetId="1" hidden="1">'Anlage 1a'!#REF!</definedName>
    <definedName name="Z_0224233B_564D_4BBC_A6B2_E639E6D2CFB3_.wvu.Rows" localSheetId="24" hidden="1">'Anlage 6.10'!#REF!</definedName>
    <definedName name="Z_0224233B_564D_4BBC_A6B2_E639E6D2CFB3_.wvu.Rows" localSheetId="25" hidden="1">'Anlage 6.11'!#REF!</definedName>
    <definedName name="Z_0224233B_564D_4BBC_A6B2_E639E6D2CFB3_.wvu.Rows" localSheetId="20" hidden="1">'Anlage 6.6'!#REF!</definedName>
    <definedName name="Z_0224233B_564D_4BBC_A6B2_E639E6D2CFB3_.wvu.Rows" localSheetId="21" hidden="1">'Anlage 6.7'!#REF!</definedName>
    <definedName name="Z_0224233B_564D_4BBC_A6B2_E639E6D2CFB3_.wvu.Rows" localSheetId="22" hidden="1">'Anlage 6.8'!#REF!</definedName>
    <definedName name="Z_0224233B_564D_4BBC_A6B2_E639E6D2CFB3_.wvu.Rows" localSheetId="23" hidden="1">'Anlage 6.9'!#REF!</definedName>
  </definedNames>
  <calcPr calcId="162913"/>
  <customWorkbookViews>
    <customWorkbookView name="UserXP - Persönliche Ansicht" guid="{0224233B-564D-4BBC-A6B2-E639E6D2CFB3}" mergeInterval="0" personalView="1" maximized="1" windowWidth="1276" windowHeight="860" tabRatio="643" activeSheetId="2"/>
  </customWorkbookViews>
</workbook>
</file>

<file path=xl/calcChain.xml><?xml version="1.0" encoding="utf-8"?>
<calcChain xmlns="http://schemas.openxmlformats.org/spreadsheetml/2006/main">
  <c r="J12" i="3" l="1"/>
  <c r="H12" i="3"/>
  <c r="F12" i="3"/>
  <c r="D12" i="3"/>
  <c r="V32" i="3" l="1"/>
  <c r="T32" i="3"/>
  <c r="R32" i="3"/>
  <c r="P32" i="3"/>
  <c r="N32" i="3"/>
  <c r="J13" i="3"/>
  <c r="H13" i="3"/>
  <c r="F13" i="3"/>
  <c r="D13" i="3"/>
  <c r="J19" i="3"/>
  <c r="J20" i="3"/>
  <c r="H19" i="3"/>
  <c r="H20" i="3"/>
  <c r="F19" i="3"/>
  <c r="F20" i="3"/>
  <c r="D19" i="3"/>
  <c r="D20" i="3"/>
  <c r="J17" i="3"/>
  <c r="J18" i="3"/>
  <c r="H17" i="3"/>
  <c r="H18" i="3"/>
  <c r="F17" i="3"/>
  <c r="F18" i="3"/>
  <c r="D17" i="3"/>
  <c r="D18" i="3"/>
  <c r="J8" i="3"/>
  <c r="H8" i="3"/>
  <c r="F8" i="3"/>
  <c r="D8" i="3"/>
  <c r="J15" i="3"/>
  <c r="H15" i="3"/>
  <c r="F15" i="3"/>
  <c r="D15" i="3"/>
  <c r="J24" i="3"/>
  <c r="H24" i="3"/>
  <c r="F24" i="3"/>
  <c r="D24" i="3"/>
  <c r="F23" i="3"/>
  <c r="H23" i="3"/>
  <c r="J23" i="3"/>
  <c r="D23" i="3"/>
  <c r="F21" i="3"/>
  <c r="D21" i="3"/>
  <c r="J21" i="3"/>
  <c r="H21" i="3"/>
  <c r="H14" i="3"/>
  <c r="J14" i="3"/>
  <c r="F14" i="3"/>
  <c r="D14" i="3"/>
  <c r="J11" i="3"/>
  <c r="H11" i="3"/>
  <c r="F11" i="3"/>
  <c r="D11" i="3"/>
  <c r="J7" i="3"/>
  <c r="H7" i="3"/>
  <c r="F7" i="3"/>
  <c r="D7" i="3"/>
  <c r="J6" i="3"/>
  <c r="H6" i="3"/>
  <c r="F6" i="3"/>
  <c r="D6" i="3"/>
  <c r="J5" i="3"/>
  <c r="H5" i="3"/>
  <c r="F5" i="3"/>
  <c r="D5" i="3"/>
  <c r="AF35" i="3"/>
  <c r="AD35" i="3"/>
  <c r="AB35" i="3"/>
  <c r="V35" i="3"/>
  <c r="T35" i="3"/>
  <c r="R35" i="3"/>
  <c r="P35" i="3"/>
  <c r="N35" i="3"/>
  <c r="V34" i="3"/>
  <c r="T34" i="3"/>
  <c r="R34" i="3"/>
  <c r="P34" i="3"/>
  <c r="N34" i="3"/>
  <c r="V33" i="3"/>
  <c r="T33" i="3"/>
  <c r="R33" i="3"/>
  <c r="P33" i="3"/>
  <c r="N33" i="3"/>
  <c r="P29" i="3"/>
  <c r="X29" i="3"/>
  <c r="V29" i="3"/>
  <c r="T29" i="3"/>
  <c r="R29" i="3"/>
  <c r="N29" i="3"/>
  <c r="T37" i="3"/>
  <c r="P37" i="3"/>
  <c r="N37" i="3"/>
  <c r="V37" i="3"/>
  <c r="X37" i="3"/>
  <c r="R37" i="3"/>
  <c r="X27" i="3" l="1"/>
  <c r="W27" i="54" s="1"/>
  <c r="V27" i="3"/>
  <c r="T27" i="3"/>
  <c r="R27" i="3"/>
  <c r="P27" i="3"/>
  <c r="N27" i="3"/>
  <c r="X39" i="3" l="1"/>
  <c r="V39" i="3"/>
  <c r="T39" i="3"/>
  <c r="R39" i="3"/>
  <c r="P39" i="3"/>
  <c r="N39" i="3"/>
  <c r="R38" i="3" l="1"/>
  <c r="P38" i="3"/>
  <c r="AD38" i="3"/>
  <c r="X38" i="3"/>
  <c r="V38" i="3"/>
  <c r="T38" i="3"/>
  <c r="N38" i="3"/>
  <c r="W27" i="58" l="1"/>
  <c r="W27" i="57"/>
  <c r="S27" i="57"/>
  <c r="F17" i="43" l="1"/>
  <c r="F16" i="37"/>
  <c r="F14" i="37" l="1"/>
  <c r="O35" i="57"/>
  <c r="F12" i="43" l="1"/>
  <c r="F12" i="39"/>
  <c r="F8" i="37" l="1"/>
  <c r="O29" i="57"/>
  <c r="I18" i="57" l="1"/>
  <c r="E11" i="57" l="1"/>
  <c r="G8" i="58"/>
  <c r="F7" i="34"/>
  <c r="I5" i="57" l="1"/>
  <c r="E5" i="5"/>
  <c r="G18" i="58" l="1"/>
  <c r="D16" i="3" l="1"/>
  <c r="O40" i="3"/>
  <c r="Q40" i="3"/>
  <c r="R40" i="3"/>
  <c r="S40" i="3"/>
  <c r="U40" i="3"/>
  <c r="W40" i="3"/>
  <c r="Y40" i="3"/>
  <c r="O36" i="3"/>
  <c r="Q36" i="3"/>
  <c r="S36" i="3"/>
  <c r="U36" i="3"/>
  <c r="V36" i="3"/>
  <c r="W36" i="3"/>
  <c r="E25" i="3"/>
  <c r="G25" i="3"/>
  <c r="I25" i="3"/>
  <c r="K25" i="3"/>
  <c r="E22" i="3"/>
  <c r="G22" i="3"/>
  <c r="I22" i="3"/>
  <c r="J22" i="3"/>
  <c r="K22" i="3"/>
  <c r="E16" i="3"/>
  <c r="G16" i="3"/>
  <c r="I16" i="3"/>
  <c r="K16" i="3"/>
  <c r="E9" i="3"/>
  <c r="G9" i="3"/>
  <c r="I9" i="3"/>
  <c r="K9" i="3"/>
  <c r="V40" i="3"/>
  <c r="M39" i="54"/>
  <c r="Z33" i="3"/>
  <c r="R36" i="3"/>
  <c r="S34" i="58"/>
  <c r="L21" i="3"/>
  <c r="O38" i="5"/>
  <c r="F13" i="6"/>
  <c r="G13" i="6" s="1"/>
  <c r="H22" i="3"/>
  <c r="T31" i="3"/>
  <c r="H25" i="3"/>
  <c r="J6" i="6"/>
  <c r="T37" i="6"/>
  <c r="U37" i="6" s="1"/>
  <c r="T40" i="3"/>
  <c r="D6" i="6"/>
  <c r="E6" i="6" s="1"/>
  <c r="E8" i="4"/>
  <c r="D8" i="6"/>
  <c r="E8" i="6" s="1"/>
  <c r="E15" i="57"/>
  <c r="J9" i="3"/>
  <c r="T36" i="3"/>
  <c r="U35" i="54"/>
  <c r="F14" i="43"/>
  <c r="H14" i="43" s="1"/>
  <c r="M14" i="43" s="1"/>
  <c r="O14" i="43" s="1"/>
  <c r="I19" i="54"/>
  <c r="H19" i="6"/>
  <c r="I19" i="6" s="1"/>
  <c r="E19" i="54"/>
  <c r="G24" i="59"/>
  <c r="E24" i="59"/>
  <c r="G24" i="58"/>
  <c r="E24" i="58"/>
  <c r="I24" i="57"/>
  <c r="G24" i="57"/>
  <c r="E24" i="57"/>
  <c r="H25" i="4"/>
  <c r="M24" i="3"/>
  <c r="AK24" i="3" s="1"/>
  <c r="AE41" i="3"/>
  <c r="AG41" i="3"/>
  <c r="AC41" i="3"/>
  <c r="E30" i="25"/>
  <c r="F18" i="37"/>
  <c r="H18" i="37" s="1"/>
  <c r="M18" i="37" s="1"/>
  <c r="O18" i="37" s="1"/>
  <c r="Q35" i="58"/>
  <c r="E12" i="58"/>
  <c r="E23" i="58"/>
  <c r="J24" i="59"/>
  <c r="J23" i="59"/>
  <c r="J11" i="59"/>
  <c r="J12" i="59"/>
  <c r="J13" i="59"/>
  <c r="J14" i="59"/>
  <c r="J15" i="59"/>
  <c r="J6" i="59"/>
  <c r="J7" i="59"/>
  <c r="J8" i="59"/>
  <c r="J5" i="59"/>
  <c r="J18" i="59"/>
  <c r="J19" i="59"/>
  <c r="J20" i="59"/>
  <c r="J21" i="59"/>
  <c r="J17" i="59"/>
  <c r="J7" i="6"/>
  <c r="K7" i="6" s="1"/>
  <c r="J8" i="6"/>
  <c r="K8" i="6" s="1"/>
  <c r="F6" i="6"/>
  <c r="G6" i="6" s="1"/>
  <c r="F8" i="6"/>
  <c r="G8" i="6" s="1"/>
  <c r="D7" i="6"/>
  <c r="E7" i="6" s="1"/>
  <c r="K8" i="5"/>
  <c r="G8" i="5"/>
  <c r="E8" i="5"/>
  <c r="K7" i="4"/>
  <c r="K8" i="4"/>
  <c r="I8" i="4"/>
  <c r="G8" i="4"/>
  <c r="E7" i="4"/>
  <c r="F7" i="32"/>
  <c r="AF38" i="59"/>
  <c r="AF39" i="59"/>
  <c r="AD38" i="59"/>
  <c r="AD39" i="59"/>
  <c r="AB38" i="59"/>
  <c r="AB39" i="59"/>
  <c r="AF37" i="59"/>
  <c r="AD37" i="59"/>
  <c r="AB37" i="59"/>
  <c r="AF33" i="59"/>
  <c r="AF34" i="59"/>
  <c r="AF35" i="59"/>
  <c r="AD33" i="59"/>
  <c r="AD34" i="59"/>
  <c r="AD35" i="59"/>
  <c r="AF32" i="59"/>
  <c r="AD32" i="59"/>
  <c r="AB33" i="59"/>
  <c r="AB34" i="59"/>
  <c r="AB35" i="59"/>
  <c r="AB32" i="59"/>
  <c r="X38" i="59"/>
  <c r="X39" i="59"/>
  <c r="V38" i="59"/>
  <c r="V39" i="59"/>
  <c r="T38" i="59"/>
  <c r="T39" i="59"/>
  <c r="R38" i="59"/>
  <c r="R39" i="59"/>
  <c r="P38" i="59"/>
  <c r="P39" i="59"/>
  <c r="N38" i="59"/>
  <c r="N39" i="59"/>
  <c r="X37" i="59"/>
  <c r="V37" i="59"/>
  <c r="T37" i="59"/>
  <c r="R37" i="59"/>
  <c r="P37" i="59"/>
  <c r="N37" i="59"/>
  <c r="V33" i="59"/>
  <c r="V34" i="59"/>
  <c r="V35" i="59"/>
  <c r="T35" i="59"/>
  <c r="T33" i="59"/>
  <c r="T34" i="59"/>
  <c r="R33" i="59"/>
  <c r="R34" i="59"/>
  <c r="R35" i="59"/>
  <c r="P33" i="59"/>
  <c r="P34" i="59"/>
  <c r="P35" i="59"/>
  <c r="N33" i="59"/>
  <c r="N34" i="59"/>
  <c r="N35" i="59"/>
  <c r="V32" i="59"/>
  <c r="T32" i="59"/>
  <c r="R32" i="59"/>
  <c r="P32" i="59"/>
  <c r="N32" i="59"/>
  <c r="X29" i="59"/>
  <c r="X31" i="59" s="1"/>
  <c r="V29" i="59"/>
  <c r="V31" i="59" s="1"/>
  <c r="T29" i="59"/>
  <c r="T31" i="59" s="1"/>
  <c r="R29" i="59"/>
  <c r="R31" i="59" s="1"/>
  <c r="P29" i="59"/>
  <c r="P31" i="59" s="1"/>
  <c r="N29" i="59"/>
  <c r="N31" i="59" s="1"/>
  <c r="X27" i="59"/>
  <c r="V27" i="59"/>
  <c r="T27" i="59"/>
  <c r="R27" i="59"/>
  <c r="P27" i="59"/>
  <c r="N27" i="59"/>
  <c r="H24" i="59"/>
  <c r="F24" i="59"/>
  <c r="D24" i="59"/>
  <c r="H23" i="59"/>
  <c r="F23" i="59"/>
  <c r="D23" i="59"/>
  <c r="H18" i="59"/>
  <c r="H19" i="59"/>
  <c r="H20" i="59"/>
  <c r="H21" i="59"/>
  <c r="F18" i="59"/>
  <c r="F19" i="59"/>
  <c r="F20" i="59"/>
  <c r="F21" i="59"/>
  <c r="D18" i="59"/>
  <c r="D19" i="59"/>
  <c r="D20" i="59"/>
  <c r="D21" i="59"/>
  <c r="L21" i="59" s="1"/>
  <c r="AJ21" i="59" s="1"/>
  <c r="H17" i="59"/>
  <c r="F17" i="59"/>
  <c r="D17" i="59"/>
  <c r="H11" i="59"/>
  <c r="H12" i="59"/>
  <c r="H13" i="59"/>
  <c r="H14" i="59"/>
  <c r="H15" i="59"/>
  <c r="F11" i="59"/>
  <c r="F12" i="59"/>
  <c r="F13" i="59"/>
  <c r="F14" i="59"/>
  <c r="F15" i="59"/>
  <c r="D11" i="59"/>
  <c r="D12" i="59"/>
  <c r="D13" i="59"/>
  <c r="D14" i="59"/>
  <c r="D15" i="59"/>
  <c r="H6" i="59"/>
  <c r="H7" i="59"/>
  <c r="H8" i="59"/>
  <c r="H5" i="59"/>
  <c r="F6" i="59"/>
  <c r="F7" i="59"/>
  <c r="F8" i="59"/>
  <c r="F5" i="59"/>
  <c r="D6" i="59"/>
  <c r="L6" i="59" s="1"/>
  <c r="AJ6" i="59" s="1"/>
  <c r="D7" i="59"/>
  <c r="D8" i="59"/>
  <c r="D5" i="59"/>
  <c r="C42" i="59"/>
  <c r="B42" i="59"/>
  <c r="K40" i="59"/>
  <c r="J40" i="59"/>
  <c r="I40" i="59"/>
  <c r="H40" i="59"/>
  <c r="G40" i="59"/>
  <c r="F40" i="59"/>
  <c r="E40" i="59"/>
  <c r="E41" i="59" s="1"/>
  <c r="Y39" i="59"/>
  <c r="W39" i="59"/>
  <c r="U39" i="59"/>
  <c r="S39" i="59"/>
  <c r="Q39" i="59"/>
  <c r="O39" i="59"/>
  <c r="L39" i="59"/>
  <c r="Y38" i="59"/>
  <c r="W38" i="59"/>
  <c r="U38" i="59"/>
  <c r="S38" i="59"/>
  <c r="Q38" i="59"/>
  <c r="O38" i="59"/>
  <c r="M38" i="59"/>
  <c r="L38" i="59"/>
  <c r="Y37" i="59"/>
  <c r="W37" i="59"/>
  <c r="U37" i="59"/>
  <c r="S37" i="59"/>
  <c r="Q37" i="59"/>
  <c r="O37" i="59"/>
  <c r="M37" i="59"/>
  <c r="L37" i="59"/>
  <c r="X36" i="59"/>
  <c r="K36" i="59"/>
  <c r="J36" i="59"/>
  <c r="I36" i="59"/>
  <c r="I41" i="59" s="1"/>
  <c r="H36" i="59"/>
  <c r="H41" i="59" s="1"/>
  <c r="G36" i="59"/>
  <c r="G41" i="59"/>
  <c r="F36" i="59"/>
  <c r="E36" i="59"/>
  <c r="D36" i="59"/>
  <c r="D41" i="59"/>
  <c r="Y35" i="59"/>
  <c r="W35" i="59"/>
  <c r="U35" i="59"/>
  <c r="S35" i="59"/>
  <c r="Q35" i="59"/>
  <c r="O35" i="59"/>
  <c r="M35" i="59"/>
  <c r="L35" i="59"/>
  <c r="Y34" i="59"/>
  <c r="W34" i="59"/>
  <c r="U34" i="59"/>
  <c r="S34" i="59"/>
  <c r="Q34" i="59"/>
  <c r="O34" i="59"/>
  <c r="O36" i="59" s="1"/>
  <c r="M34" i="59"/>
  <c r="L34" i="59"/>
  <c r="Y33" i="59"/>
  <c r="W33" i="59"/>
  <c r="U33" i="59"/>
  <c r="S33" i="59"/>
  <c r="S36" i="59" s="1"/>
  <c r="Q33" i="59"/>
  <c r="O33" i="59"/>
  <c r="M33" i="59"/>
  <c r="L33" i="59"/>
  <c r="Y32" i="59"/>
  <c r="W32" i="59"/>
  <c r="W36" i="59" s="1"/>
  <c r="U32" i="59"/>
  <c r="S32" i="59"/>
  <c r="Q32" i="59"/>
  <c r="O32" i="59"/>
  <c r="M32" i="59"/>
  <c r="L32" i="59"/>
  <c r="Y29" i="59"/>
  <c r="Y31" i="59" s="1"/>
  <c r="W29" i="59"/>
  <c r="W31" i="59" s="1"/>
  <c r="U29" i="59"/>
  <c r="U31" i="59" s="1"/>
  <c r="S29" i="59"/>
  <c r="S31" i="59" s="1"/>
  <c r="Q29" i="59"/>
  <c r="Q31" i="59" s="1"/>
  <c r="O29" i="59"/>
  <c r="O31" i="59" s="1"/>
  <c r="Y27" i="59"/>
  <c r="W27" i="59"/>
  <c r="U27" i="59"/>
  <c r="S27" i="59"/>
  <c r="Q27" i="59"/>
  <c r="O27" i="59"/>
  <c r="M27" i="59"/>
  <c r="L27" i="59"/>
  <c r="AG25" i="59"/>
  <c r="AG26" i="59" s="1"/>
  <c r="AF25" i="59"/>
  <c r="AF26" i="59" s="1"/>
  <c r="AE25" i="59"/>
  <c r="AE26" i="59" s="1"/>
  <c r="AD25" i="59"/>
  <c r="AD26" i="59" s="1"/>
  <c r="AC25" i="59"/>
  <c r="AC26" i="59" s="1"/>
  <c r="AB25" i="59"/>
  <c r="AB26" i="59" s="1"/>
  <c r="Y25" i="59"/>
  <c r="X25" i="59"/>
  <c r="W25" i="59"/>
  <c r="V25" i="59"/>
  <c r="U25" i="59"/>
  <c r="T25" i="59"/>
  <c r="S25" i="59"/>
  <c r="R25" i="59"/>
  <c r="Q25" i="59"/>
  <c r="P25" i="59"/>
  <c r="P26" i="59" s="1"/>
  <c r="O25" i="59"/>
  <c r="N25" i="59"/>
  <c r="AI24" i="59"/>
  <c r="AI25" i="59" s="1"/>
  <c r="AI26" i="59" s="1"/>
  <c r="AH24" i="59"/>
  <c r="AH25" i="59" s="1"/>
  <c r="AH26" i="59" s="1"/>
  <c r="AA24" i="59"/>
  <c r="AA25" i="59" s="1"/>
  <c r="AA26" i="59" s="1"/>
  <c r="Z24" i="59"/>
  <c r="Z25" i="59" s="1"/>
  <c r="Z26" i="59" s="1"/>
  <c r="K24" i="59"/>
  <c r="I24" i="59"/>
  <c r="K23" i="59"/>
  <c r="I23" i="59"/>
  <c r="G23" i="59"/>
  <c r="E23" i="59"/>
  <c r="E25" i="59" s="1"/>
  <c r="Y22" i="59"/>
  <c r="X22" i="59"/>
  <c r="W22" i="59"/>
  <c r="V22" i="59"/>
  <c r="U22" i="59"/>
  <c r="T22" i="59"/>
  <c r="T26" i="59" s="1"/>
  <c r="T28" i="59" s="1"/>
  <c r="S22" i="59"/>
  <c r="R22" i="59"/>
  <c r="Q22" i="59"/>
  <c r="P22" i="59"/>
  <c r="O22" i="59"/>
  <c r="N22" i="59"/>
  <c r="N26" i="59" s="1"/>
  <c r="K21" i="59"/>
  <c r="I21" i="59"/>
  <c r="G21" i="59"/>
  <c r="E21" i="59"/>
  <c r="K20" i="59"/>
  <c r="I20" i="59"/>
  <c r="G20" i="59"/>
  <c r="E20" i="59"/>
  <c r="K19" i="59"/>
  <c r="I19" i="59"/>
  <c r="G19" i="59"/>
  <c r="E19" i="59"/>
  <c r="K18" i="59"/>
  <c r="I18" i="59"/>
  <c r="G18" i="59"/>
  <c r="E18" i="59"/>
  <c r="K17" i="59"/>
  <c r="I17" i="59"/>
  <c r="I22" i="59" s="1"/>
  <c r="G17" i="59"/>
  <c r="E17" i="59"/>
  <c r="Y16" i="59"/>
  <c r="X16" i="59"/>
  <c r="W16" i="59"/>
  <c r="V16" i="59"/>
  <c r="V26" i="59" s="1"/>
  <c r="U16" i="59"/>
  <c r="T16" i="59"/>
  <c r="S16" i="59"/>
  <c r="R16" i="59"/>
  <c r="Q16" i="59"/>
  <c r="P16" i="59"/>
  <c r="O16" i="59"/>
  <c r="N16" i="59"/>
  <c r="K15" i="59"/>
  <c r="I15" i="59"/>
  <c r="G15" i="59"/>
  <c r="E15" i="59"/>
  <c r="K14" i="59"/>
  <c r="I14" i="59"/>
  <c r="G14" i="59"/>
  <c r="E14" i="59"/>
  <c r="K13" i="59"/>
  <c r="I13" i="59"/>
  <c r="G13" i="59"/>
  <c r="E13" i="59"/>
  <c r="K12" i="59"/>
  <c r="I12" i="59"/>
  <c r="G12" i="59"/>
  <c r="E12" i="59"/>
  <c r="K11" i="59"/>
  <c r="I11" i="59"/>
  <c r="G11" i="59"/>
  <c r="E11" i="59"/>
  <c r="Y9" i="59"/>
  <c r="X9" i="59"/>
  <c r="W9" i="59"/>
  <c r="V9" i="59"/>
  <c r="U9" i="59"/>
  <c r="T9" i="59"/>
  <c r="S9" i="59"/>
  <c r="R9" i="59"/>
  <c r="Q9" i="59"/>
  <c r="P9" i="59"/>
  <c r="O9" i="59"/>
  <c r="N9" i="59"/>
  <c r="AI8" i="59"/>
  <c r="AH8" i="59"/>
  <c r="AA8" i="59"/>
  <c r="Z8" i="59"/>
  <c r="K8" i="59"/>
  <c r="I8" i="59"/>
  <c r="G8" i="59"/>
  <c r="E8" i="59"/>
  <c r="AI7" i="59"/>
  <c r="AH7" i="59"/>
  <c r="AA7" i="59"/>
  <c r="Z7" i="59"/>
  <c r="K7" i="59"/>
  <c r="I7" i="59"/>
  <c r="M7" i="59" s="1"/>
  <c r="AK7" i="59" s="1"/>
  <c r="G7" i="59"/>
  <c r="E7" i="59"/>
  <c r="AI6" i="59"/>
  <c r="AH6" i="59"/>
  <c r="AA6" i="59"/>
  <c r="Z6" i="59"/>
  <c r="K6" i="59"/>
  <c r="I6" i="59"/>
  <c r="G6" i="59"/>
  <c r="E6" i="59"/>
  <c r="AI5" i="59"/>
  <c r="AH5" i="59"/>
  <c r="AA5" i="59"/>
  <c r="Z5" i="59"/>
  <c r="K5" i="59"/>
  <c r="K9" i="59" s="1"/>
  <c r="I5" i="59"/>
  <c r="G5" i="59"/>
  <c r="E5" i="59"/>
  <c r="E9" i="59" s="1"/>
  <c r="C42" i="58"/>
  <c r="B42" i="58"/>
  <c r="AF40" i="58"/>
  <c r="AD40" i="58"/>
  <c r="AB40" i="58"/>
  <c r="X40" i="58"/>
  <c r="V40" i="58"/>
  <c r="T40" i="58"/>
  <c r="R40" i="58"/>
  <c r="P40" i="58"/>
  <c r="N40" i="58"/>
  <c r="K40" i="58"/>
  <c r="J40" i="58"/>
  <c r="I40" i="58"/>
  <c r="H40" i="58"/>
  <c r="G40" i="58"/>
  <c r="F40" i="58"/>
  <c r="E40" i="58"/>
  <c r="AH39" i="58"/>
  <c r="Z39" i="58"/>
  <c r="Y39" i="58"/>
  <c r="W39" i="58"/>
  <c r="U39" i="58"/>
  <c r="S39" i="58"/>
  <c r="Q39" i="58"/>
  <c r="O39" i="58"/>
  <c r="L39" i="58"/>
  <c r="AH38" i="58"/>
  <c r="Z38" i="58"/>
  <c r="Y38" i="58"/>
  <c r="W38" i="58"/>
  <c r="U38" i="58"/>
  <c r="S38" i="58"/>
  <c r="Q38" i="58"/>
  <c r="O38" i="58"/>
  <c r="M38" i="58"/>
  <c r="L38" i="58"/>
  <c r="AH37" i="58"/>
  <c r="Z37" i="58"/>
  <c r="Y37" i="58"/>
  <c r="W37" i="58"/>
  <c r="U37" i="58"/>
  <c r="S37" i="58"/>
  <c r="Q37" i="58"/>
  <c r="O37" i="58"/>
  <c r="M37" i="58"/>
  <c r="L37" i="58"/>
  <c r="AF36" i="58"/>
  <c r="AD36" i="58"/>
  <c r="AB36" i="58"/>
  <c r="AB41" i="58" s="1"/>
  <c r="X36" i="58"/>
  <c r="V36" i="58"/>
  <c r="T36" i="58"/>
  <c r="R36" i="58"/>
  <c r="P36" i="58"/>
  <c r="N36" i="58"/>
  <c r="K36" i="58"/>
  <c r="J36" i="58"/>
  <c r="I36" i="58"/>
  <c r="I41" i="58" s="1"/>
  <c r="H36" i="58"/>
  <c r="G36" i="58"/>
  <c r="F36" i="58"/>
  <c r="F41" i="58" s="1"/>
  <c r="E36" i="58"/>
  <c r="E41" i="58" s="1"/>
  <c r="D36" i="58"/>
  <c r="D41" i="58" s="1"/>
  <c r="AH35" i="58"/>
  <c r="Z35" i="58"/>
  <c r="Y35" i="58"/>
  <c r="W35" i="58"/>
  <c r="U35" i="58"/>
  <c r="S35" i="58"/>
  <c r="O35" i="58"/>
  <c r="M35" i="58"/>
  <c r="L35" i="58"/>
  <c r="AH34" i="58"/>
  <c r="Z34" i="58"/>
  <c r="Y34" i="58"/>
  <c r="W34" i="58"/>
  <c r="U34" i="58"/>
  <c r="Q34" i="58"/>
  <c r="O34" i="58"/>
  <c r="M34" i="58"/>
  <c r="L34" i="58"/>
  <c r="AH33" i="58"/>
  <c r="Z33" i="58"/>
  <c r="Y33" i="58"/>
  <c r="W33" i="58"/>
  <c r="U33" i="58"/>
  <c r="S33" i="58"/>
  <c r="Q33" i="58"/>
  <c r="O33" i="58"/>
  <c r="M33" i="58"/>
  <c r="L33" i="58"/>
  <c r="AH32" i="58"/>
  <c r="Z32" i="58"/>
  <c r="Y32" i="58"/>
  <c r="W32" i="58"/>
  <c r="U32" i="58"/>
  <c r="S32" i="58"/>
  <c r="Q32" i="58"/>
  <c r="O32" i="58"/>
  <c r="M32" i="58"/>
  <c r="L32" i="58"/>
  <c r="X31" i="58"/>
  <c r="V31" i="58"/>
  <c r="T31" i="58"/>
  <c r="R31" i="58"/>
  <c r="P31" i="58"/>
  <c r="N31" i="58"/>
  <c r="Z29" i="58"/>
  <c r="Z31" i="58" s="1"/>
  <c r="Y29" i="58"/>
  <c r="Y31" i="58" s="1"/>
  <c r="W29" i="58"/>
  <c r="W31" i="58" s="1"/>
  <c r="U29" i="58"/>
  <c r="U31" i="58" s="1"/>
  <c r="S29" i="58"/>
  <c r="S31" i="58" s="1"/>
  <c r="Q29" i="58"/>
  <c r="Q31" i="58" s="1"/>
  <c r="O29" i="58"/>
  <c r="O31" i="58" s="1"/>
  <c r="Z27" i="58"/>
  <c r="Y27" i="58"/>
  <c r="U27" i="58"/>
  <c r="S27" i="58"/>
  <c r="Q27" i="58"/>
  <c r="O27" i="58"/>
  <c r="M27" i="58"/>
  <c r="L27" i="58"/>
  <c r="AG25" i="58"/>
  <c r="AG26" i="58" s="1"/>
  <c r="AF25" i="58"/>
  <c r="AF26" i="58" s="1"/>
  <c r="AE25" i="58"/>
  <c r="AE26" i="58" s="1"/>
  <c r="AD25" i="58"/>
  <c r="AD26" i="58" s="1"/>
  <c r="AC25" i="58"/>
  <c r="AC26" i="58" s="1"/>
  <c r="AB25" i="58"/>
  <c r="AB26" i="58" s="1"/>
  <c r="Y25" i="58"/>
  <c r="X25" i="58"/>
  <c r="W25" i="58"/>
  <c r="V25" i="58"/>
  <c r="U25" i="58"/>
  <c r="T25" i="58"/>
  <c r="S25" i="58"/>
  <c r="R25" i="58"/>
  <c r="Q25" i="58"/>
  <c r="P25" i="58"/>
  <c r="O25" i="58"/>
  <c r="N25" i="58"/>
  <c r="N26" i="58" s="1"/>
  <c r="N28" i="58" s="1"/>
  <c r="J25" i="58"/>
  <c r="H25" i="58"/>
  <c r="F25" i="58"/>
  <c r="D25" i="58"/>
  <c r="AI24" i="58"/>
  <c r="AI25" i="58" s="1"/>
  <c r="AI26" i="58" s="1"/>
  <c r="AH24" i="58"/>
  <c r="AH25" i="58" s="1"/>
  <c r="AH26" i="58" s="1"/>
  <c r="AA24" i="58"/>
  <c r="AA25" i="58" s="1"/>
  <c r="AA26" i="58" s="1"/>
  <c r="Z24" i="58"/>
  <c r="Z25" i="58" s="1"/>
  <c r="Z26" i="58" s="1"/>
  <c r="L24" i="58"/>
  <c r="AJ24" i="58" s="1"/>
  <c r="K24" i="58"/>
  <c r="I24" i="58"/>
  <c r="L23" i="58"/>
  <c r="AJ23" i="58" s="1"/>
  <c r="K23" i="58"/>
  <c r="I23" i="58"/>
  <c r="G23" i="58"/>
  <c r="Y22" i="58"/>
  <c r="X22" i="58"/>
  <c r="W22" i="58"/>
  <c r="V22" i="58"/>
  <c r="U22" i="58"/>
  <c r="T22" i="58"/>
  <c r="S22" i="58"/>
  <c r="R22" i="58"/>
  <c r="Q22" i="58"/>
  <c r="Q26" i="58" s="1"/>
  <c r="Q28" i="58" s="1"/>
  <c r="P22" i="58"/>
  <c r="O22" i="58"/>
  <c r="N22" i="58"/>
  <c r="J22" i="58"/>
  <c r="H22" i="58"/>
  <c r="F22" i="58"/>
  <c r="D22" i="58"/>
  <c r="L21" i="58"/>
  <c r="AJ21" i="58" s="1"/>
  <c r="K21" i="58"/>
  <c r="I21" i="58"/>
  <c r="G21" i="58"/>
  <c r="E21" i="58"/>
  <c r="L20" i="58"/>
  <c r="AJ20" i="58" s="1"/>
  <c r="K20" i="58"/>
  <c r="I20" i="58"/>
  <c r="G20" i="58"/>
  <c r="E20" i="58"/>
  <c r="L19" i="58"/>
  <c r="AJ19" i="58" s="1"/>
  <c r="K19" i="58"/>
  <c r="I19" i="58"/>
  <c r="G19" i="58"/>
  <c r="E19" i="58"/>
  <c r="L18" i="58"/>
  <c r="AJ18" i="58" s="1"/>
  <c r="K18" i="58"/>
  <c r="I18" i="58"/>
  <c r="E18" i="58"/>
  <c r="L17" i="58"/>
  <c r="AJ17" i="58" s="1"/>
  <c r="K17" i="58"/>
  <c r="I17" i="58"/>
  <c r="G17" i="58"/>
  <c r="E17" i="58"/>
  <c r="Y16" i="58"/>
  <c r="X16" i="58"/>
  <c r="W16" i="58"/>
  <c r="V16" i="58"/>
  <c r="U16" i="58"/>
  <c r="T16" i="58"/>
  <c r="S16" i="58"/>
  <c r="R16" i="58"/>
  <c r="Q16" i="58"/>
  <c r="P16" i="58"/>
  <c r="P26" i="58" s="1"/>
  <c r="P28" i="58" s="1"/>
  <c r="O16" i="58"/>
  <c r="N16" i="58"/>
  <c r="J16" i="58"/>
  <c r="H16" i="58"/>
  <c r="F16" i="58"/>
  <c r="D16" i="58"/>
  <c r="L15" i="58"/>
  <c r="AJ15" i="58" s="1"/>
  <c r="K15" i="58"/>
  <c r="I15" i="58"/>
  <c r="G15" i="58"/>
  <c r="E15" i="58"/>
  <c r="L14" i="58"/>
  <c r="AJ14" i="58" s="1"/>
  <c r="K14" i="58"/>
  <c r="I14" i="58"/>
  <c r="G14" i="58"/>
  <c r="E14" i="58"/>
  <c r="L13" i="58"/>
  <c r="AJ13" i="58" s="1"/>
  <c r="K13" i="58"/>
  <c r="I13" i="58"/>
  <c r="G13" i="58"/>
  <c r="E13" i="58"/>
  <c r="L12" i="58"/>
  <c r="AJ12" i="58" s="1"/>
  <c r="K12" i="58"/>
  <c r="I12" i="58"/>
  <c r="G12" i="58"/>
  <c r="L11" i="58"/>
  <c r="AJ11" i="58" s="1"/>
  <c r="K11" i="58"/>
  <c r="I11" i="58"/>
  <c r="G11" i="58"/>
  <c r="E11" i="58"/>
  <c r="Y9" i="58"/>
  <c r="X9" i="58"/>
  <c r="W9" i="58"/>
  <c r="V9" i="58"/>
  <c r="U9" i="58"/>
  <c r="T9" i="58"/>
  <c r="S9" i="58"/>
  <c r="R9" i="58"/>
  <c r="Q9" i="58"/>
  <c r="P9" i="58"/>
  <c r="O9" i="58"/>
  <c r="N9" i="58"/>
  <c r="J9" i="58"/>
  <c r="H9" i="58"/>
  <c r="F9" i="58"/>
  <c r="D9" i="58"/>
  <c r="AI8" i="58"/>
  <c r="AH8" i="58"/>
  <c r="AA8" i="58"/>
  <c r="Z8" i="58"/>
  <c r="L8" i="58"/>
  <c r="K8" i="58"/>
  <c r="I8" i="58"/>
  <c r="E8" i="58"/>
  <c r="AI7" i="58"/>
  <c r="AH7" i="58"/>
  <c r="AA7" i="58"/>
  <c r="Z7" i="58"/>
  <c r="L7" i="58"/>
  <c r="K7" i="58"/>
  <c r="I7" i="58"/>
  <c r="G7" i="58"/>
  <c r="E7" i="58"/>
  <c r="AI6" i="58"/>
  <c r="AH6" i="58"/>
  <c r="AA6" i="58"/>
  <c r="Z6" i="58"/>
  <c r="L6" i="58"/>
  <c r="K6" i="58"/>
  <c r="I6" i="58"/>
  <c r="G6" i="58"/>
  <c r="E6" i="58"/>
  <c r="E9" i="58" s="1"/>
  <c r="AI5" i="58"/>
  <c r="AH5" i="58"/>
  <c r="AA5" i="58"/>
  <c r="Z5" i="58"/>
  <c r="L5" i="58"/>
  <c r="K5" i="58"/>
  <c r="I5" i="58"/>
  <c r="G5" i="58"/>
  <c r="E5" i="58"/>
  <c r="AH32" i="57"/>
  <c r="AD40" i="57"/>
  <c r="Q39" i="57"/>
  <c r="AA39" i="57" s="1"/>
  <c r="S39" i="57"/>
  <c r="U39" i="57"/>
  <c r="W39" i="57"/>
  <c r="Y39" i="57"/>
  <c r="Q38" i="57"/>
  <c r="S38" i="57"/>
  <c r="U38" i="57"/>
  <c r="W38" i="57"/>
  <c r="Y38" i="57"/>
  <c r="Q37" i="57"/>
  <c r="S37" i="57"/>
  <c r="U37" i="57"/>
  <c r="V40" i="57"/>
  <c r="W37" i="57"/>
  <c r="Y37" i="57"/>
  <c r="O38" i="57"/>
  <c r="O39" i="57"/>
  <c r="O37" i="57"/>
  <c r="Q35" i="57"/>
  <c r="S35" i="57"/>
  <c r="U35" i="57"/>
  <c r="W35" i="57"/>
  <c r="Y35" i="57"/>
  <c r="Q34" i="57"/>
  <c r="S34" i="57"/>
  <c r="U34" i="57"/>
  <c r="W34" i="57"/>
  <c r="Y34" i="57"/>
  <c r="Q33" i="57"/>
  <c r="S33" i="57"/>
  <c r="U33" i="57"/>
  <c r="W33" i="57"/>
  <c r="Y33" i="57"/>
  <c r="O33" i="57"/>
  <c r="O34" i="57"/>
  <c r="Q32" i="57"/>
  <c r="S32" i="57"/>
  <c r="U32" i="57"/>
  <c r="W32" i="57"/>
  <c r="Y32" i="57"/>
  <c r="O32" i="57"/>
  <c r="Y29" i="57"/>
  <c r="Y31" i="57" s="1"/>
  <c r="Q29" i="57"/>
  <c r="Q31" i="57" s="1"/>
  <c r="S29" i="57"/>
  <c r="S31" i="57" s="1"/>
  <c r="U29" i="57"/>
  <c r="U31" i="57" s="1"/>
  <c r="W29" i="57"/>
  <c r="W31" i="57" s="1"/>
  <c r="O31" i="57"/>
  <c r="Y27" i="57"/>
  <c r="Q27" i="57"/>
  <c r="U27" i="57"/>
  <c r="O27" i="57"/>
  <c r="G23" i="57"/>
  <c r="G25" i="57" s="1"/>
  <c r="K18" i="57"/>
  <c r="K19" i="57"/>
  <c r="K20" i="57"/>
  <c r="K21" i="57"/>
  <c r="K17" i="57"/>
  <c r="I19" i="57"/>
  <c r="I20" i="57"/>
  <c r="I21" i="57"/>
  <c r="I17" i="57"/>
  <c r="G18" i="57"/>
  <c r="G19" i="57"/>
  <c r="G20" i="57"/>
  <c r="G21" i="57"/>
  <c r="G17" i="57"/>
  <c r="K24" i="57"/>
  <c r="K23" i="57"/>
  <c r="I23" i="57"/>
  <c r="K11" i="57"/>
  <c r="K12" i="57"/>
  <c r="K13" i="57"/>
  <c r="K14" i="57"/>
  <c r="K15" i="57"/>
  <c r="I11" i="57"/>
  <c r="I12" i="57"/>
  <c r="I13" i="57"/>
  <c r="I14" i="57"/>
  <c r="I15" i="57"/>
  <c r="G11" i="57"/>
  <c r="G12" i="57"/>
  <c r="G13" i="57"/>
  <c r="G14" i="57"/>
  <c r="G15" i="57"/>
  <c r="K6" i="57"/>
  <c r="K7" i="57"/>
  <c r="K8" i="57"/>
  <c r="K5" i="57"/>
  <c r="I6" i="57"/>
  <c r="I7" i="57"/>
  <c r="I8" i="57"/>
  <c r="G6" i="57"/>
  <c r="G7" i="57"/>
  <c r="G8" i="57"/>
  <c r="G5" i="57"/>
  <c r="E5" i="57"/>
  <c r="E23" i="57"/>
  <c r="E18" i="57"/>
  <c r="E19" i="57"/>
  <c r="E20" i="57"/>
  <c r="E21" i="57"/>
  <c r="E17" i="57"/>
  <c r="E12" i="57"/>
  <c r="E13" i="57"/>
  <c r="E14" i="57"/>
  <c r="E36" i="57"/>
  <c r="E40" i="57"/>
  <c r="E41" i="57" s="1"/>
  <c r="M37" i="57"/>
  <c r="E6" i="57"/>
  <c r="E7" i="57"/>
  <c r="E8" i="57"/>
  <c r="C42" i="57"/>
  <c r="B42" i="57"/>
  <c r="AF40" i="57"/>
  <c r="AB40" i="57"/>
  <c r="K40" i="57"/>
  <c r="J40" i="57"/>
  <c r="I40" i="57"/>
  <c r="H40" i="57"/>
  <c r="G40" i="57"/>
  <c r="F40" i="57"/>
  <c r="AH39" i="57"/>
  <c r="Z39" i="57"/>
  <c r="L39" i="57"/>
  <c r="AH38" i="57"/>
  <c r="Z38" i="57"/>
  <c r="M38" i="57"/>
  <c r="L38" i="57"/>
  <c r="AH37" i="57"/>
  <c r="X40" i="57"/>
  <c r="T40" i="57"/>
  <c r="R40" i="57"/>
  <c r="P40" i="57"/>
  <c r="N40" i="57"/>
  <c r="L37" i="57"/>
  <c r="AF36" i="57"/>
  <c r="AF41" i="57" s="1"/>
  <c r="AD36" i="57"/>
  <c r="AB36" i="57"/>
  <c r="X36" i="57"/>
  <c r="K36" i="57"/>
  <c r="K41" i="57" s="1"/>
  <c r="J36" i="57"/>
  <c r="I36" i="57"/>
  <c r="I41" i="57" s="1"/>
  <c r="H36" i="57"/>
  <c r="H41" i="57" s="1"/>
  <c r="G36" i="57"/>
  <c r="G41" i="57" s="1"/>
  <c r="F36" i="57"/>
  <c r="F41" i="57" s="1"/>
  <c r="D36" i="57"/>
  <c r="D41" i="57" s="1"/>
  <c r="AH35" i="57"/>
  <c r="Z35" i="57"/>
  <c r="M35" i="57"/>
  <c r="L35" i="57"/>
  <c r="AH34" i="57"/>
  <c r="Z34" i="57"/>
  <c r="M34" i="57"/>
  <c r="L34" i="57"/>
  <c r="AH33" i="57"/>
  <c r="Z33" i="57"/>
  <c r="M33" i="57"/>
  <c r="L33" i="57"/>
  <c r="V36" i="57"/>
  <c r="T36" i="57"/>
  <c r="R36" i="57"/>
  <c r="P36" i="57"/>
  <c r="N36" i="57"/>
  <c r="M32" i="57"/>
  <c r="L32" i="57"/>
  <c r="X31" i="57"/>
  <c r="V31" i="57"/>
  <c r="T31" i="57"/>
  <c r="R31" i="57"/>
  <c r="P31" i="57"/>
  <c r="N31" i="57"/>
  <c r="Z27" i="57"/>
  <c r="AJ27" i="57" s="1"/>
  <c r="AJ28" i="57" s="1"/>
  <c r="M27" i="57"/>
  <c r="L27" i="57"/>
  <c r="AG25" i="57"/>
  <c r="AF25" i="57"/>
  <c r="AF26" i="57" s="1"/>
  <c r="AE25" i="57"/>
  <c r="AD25" i="57"/>
  <c r="AC25" i="57"/>
  <c r="AC26" i="57" s="1"/>
  <c r="AB25" i="57"/>
  <c r="AB26" i="57" s="1"/>
  <c r="Y25" i="57"/>
  <c r="X25" i="57"/>
  <c r="W25" i="57"/>
  <c r="V25" i="57"/>
  <c r="U25" i="57"/>
  <c r="T25" i="57"/>
  <c r="S25" i="57"/>
  <c r="R25" i="57"/>
  <c r="Q25" i="57"/>
  <c r="P25" i="57"/>
  <c r="O25" i="57"/>
  <c r="N25" i="57"/>
  <c r="J25" i="57"/>
  <c r="F25" i="57"/>
  <c r="AI24" i="57"/>
  <c r="AI25" i="57" s="1"/>
  <c r="AH24" i="57"/>
  <c r="AA24" i="57"/>
  <c r="AA25" i="57" s="1"/>
  <c r="AA26" i="57" s="1"/>
  <c r="Z24" i="57"/>
  <c r="L24" i="57"/>
  <c r="H25" i="57"/>
  <c r="D25" i="57"/>
  <c r="Y22" i="57"/>
  <c r="X22" i="57"/>
  <c r="W22" i="57"/>
  <c r="V22" i="57"/>
  <c r="U22" i="57"/>
  <c r="T22" i="57"/>
  <c r="S22" i="57"/>
  <c r="S26" i="57" s="1"/>
  <c r="S28" i="57" s="1"/>
  <c r="R22" i="57"/>
  <c r="Q22" i="57"/>
  <c r="P22" i="57"/>
  <c r="O22" i="57"/>
  <c r="N22" i="57"/>
  <c r="L21" i="57"/>
  <c r="AJ21" i="57" s="1"/>
  <c r="L20" i="57"/>
  <c r="AJ20" i="57" s="1"/>
  <c r="L19" i="57"/>
  <c r="AJ19" i="57" s="1"/>
  <c r="L18" i="57"/>
  <c r="J22" i="57"/>
  <c r="H22" i="57"/>
  <c r="F22" i="57"/>
  <c r="D22" i="57"/>
  <c r="Y16" i="57"/>
  <c r="X16" i="57"/>
  <c r="W16" i="57"/>
  <c r="V16" i="57"/>
  <c r="U16" i="57"/>
  <c r="T16" i="57"/>
  <c r="S16" i="57"/>
  <c r="R16" i="57"/>
  <c r="Q16" i="57"/>
  <c r="P16" i="57"/>
  <c r="O16" i="57"/>
  <c r="N16" i="57"/>
  <c r="L15" i="57"/>
  <c r="AJ15" i="57" s="1"/>
  <c r="L14" i="57"/>
  <c r="AJ14" i="57" s="1"/>
  <c r="L13" i="57"/>
  <c r="AJ13" i="57" s="1"/>
  <c r="L12" i="57"/>
  <c r="AJ12" i="57" s="1"/>
  <c r="H16" i="57"/>
  <c r="F16" i="57"/>
  <c r="D16" i="57"/>
  <c r="J16" i="57"/>
  <c r="Y9" i="57"/>
  <c r="X9" i="57"/>
  <c r="W9" i="57"/>
  <c r="W26" i="57" s="1"/>
  <c r="W28" i="57" s="1"/>
  <c r="V9" i="57"/>
  <c r="U9" i="57"/>
  <c r="T9" i="57"/>
  <c r="S9" i="57"/>
  <c r="R9" i="57"/>
  <c r="Q9" i="57"/>
  <c r="P9" i="57"/>
  <c r="O9" i="57"/>
  <c r="N9" i="57"/>
  <c r="J9" i="57"/>
  <c r="F9" i="57"/>
  <c r="AI8" i="57"/>
  <c r="AH8" i="57"/>
  <c r="AA8" i="57"/>
  <c r="Z8" i="57"/>
  <c r="L8" i="57"/>
  <c r="AI7" i="57"/>
  <c r="AH7" i="57"/>
  <c r="AA7" i="57"/>
  <c r="Z7" i="57"/>
  <c r="L7" i="57"/>
  <c r="AI6" i="57"/>
  <c r="AH6" i="57"/>
  <c r="AA6" i="57"/>
  <c r="Z6" i="57"/>
  <c r="D9" i="57"/>
  <c r="AI5" i="57"/>
  <c r="AH5" i="57"/>
  <c r="AA5" i="57"/>
  <c r="Z5" i="57"/>
  <c r="H9" i="57"/>
  <c r="D42" i="25"/>
  <c r="E42" i="25"/>
  <c r="C42" i="25"/>
  <c r="D36" i="25"/>
  <c r="E36" i="25"/>
  <c r="C36" i="25"/>
  <c r="D30" i="25"/>
  <c r="C30" i="25"/>
  <c r="D24" i="25"/>
  <c r="E24" i="25"/>
  <c r="C24" i="25"/>
  <c r="D18" i="25"/>
  <c r="E18" i="25"/>
  <c r="C18" i="25"/>
  <c r="D12" i="25"/>
  <c r="E12" i="25"/>
  <c r="C12" i="25"/>
  <c r="D36" i="22"/>
  <c r="E36" i="22"/>
  <c r="F36" i="22"/>
  <c r="C36" i="22"/>
  <c r="D30" i="22"/>
  <c r="E30" i="22"/>
  <c r="F30" i="22"/>
  <c r="C30" i="22"/>
  <c r="D24" i="22"/>
  <c r="E24" i="22"/>
  <c r="F24" i="22"/>
  <c r="C24" i="22"/>
  <c r="D18" i="22"/>
  <c r="E18" i="22"/>
  <c r="F18" i="22"/>
  <c r="C18" i="22"/>
  <c r="D12" i="22"/>
  <c r="E12" i="22"/>
  <c r="F12" i="22"/>
  <c r="C12" i="22"/>
  <c r="C42" i="19"/>
  <c r="G42" i="19" s="1"/>
  <c r="C36" i="19"/>
  <c r="G36" i="19" s="1"/>
  <c r="C30" i="19"/>
  <c r="C24" i="19"/>
  <c r="G24" i="19" s="1"/>
  <c r="C18" i="19"/>
  <c r="G18" i="19" s="1"/>
  <c r="C12" i="19"/>
  <c r="D42" i="16"/>
  <c r="D36" i="16"/>
  <c r="D30" i="16"/>
  <c r="D24" i="16"/>
  <c r="D18" i="16"/>
  <c r="G41" i="25"/>
  <c r="G40" i="25"/>
  <c r="G39" i="25"/>
  <c r="G38" i="25"/>
  <c r="G37" i="25"/>
  <c r="G35" i="25"/>
  <c r="G34" i="25"/>
  <c r="G33" i="25"/>
  <c r="G32" i="25"/>
  <c r="G31" i="25"/>
  <c r="G29" i="25"/>
  <c r="G28" i="25"/>
  <c r="G27" i="25"/>
  <c r="G26" i="25"/>
  <c r="G25" i="25"/>
  <c r="G23" i="25"/>
  <c r="G22" i="25"/>
  <c r="G21" i="25"/>
  <c r="G20" i="25"/>
  <c r="G19" i="25"/>
  <c r="G17" i="25"/>
  <c r="G16" i="25"/>
  <c r="G15" i="25"/>
  <c r="G14" i="25"/>
  <c r="G13" i="25"/>
  <c r="G11" i="25"/>
  <c r="G10" i="25"/>
  <c r="G9" i="25"/>
  <c r="G8" i="25"/>
  <c r="G7" i="25"/>
  <c r="G41" i="22"/>
  <c r="G40" i="22"/>
  <c r="G39" i="22"/>
  <c r="G38" i="22"/>
  <c r="G37" i="22"/>
  <c r="G35" i="22"/>
  <c r="G34" i="22"/>
  <c r="G33" i="22"/>
  <c r="G32" i="22"/>
  <c r="G31" i="22"/>
  <c r="G29" i="22"/>
  <c r="G28" i="22"/>
  <c r="G27" i="22"/>
  <c r="G26" i="22"/>
  <c r="G25" i="22"/>
  <c r="G23" i="22"/>
  <c r="G22" i="22"/>
  <c r="G21" i="22"/>
  <c r="G20" i="22"/>
  <c r="G19" i="22"/>
  <c r="G17" i="22"/>
  <c r="G16" i="22"/>
  <c r="G15" i="22"/>
  <c r="G14" i="22"/>
  <c r="G13" i="22"/>
  <c r="G11" i="22"/>
  <c r="G10" i="22"/>
  <c r="G9" i="22"/>
  <c r="G8" i="22"/>
  <c r="G7" i="22"/>
  <c r="G40" i="19"/>
  <c r="G39" i="19"/>
  <c r="G38" i="19"/>
  <c r="G37" i="19"/>
  <c r="G34" i="19"/>
  <c r="G33" i="19"/>
  <c r="G32" i="19"/>
  <c r="G31" i="19"/>
  <c r="G28" i="19"/>
  <c r="G27" i="19"/>
  <c r="G26" i="19"/>
  <c r="G25" i="19"/>
  <c r="G22" i="19"/>
  <c r="G21" i="19"/>
  <c r="G20" i="19"/>
  <c r="G19" i="19"/>
  <c r="F43" i="16"/>
  <c r="C43" i="16"/>
  <c r="F43" i="19"/>
  <c r="G41" i="19"/>
  <c r="G35" i="19"/>
  <c r="G29" i="19"/>
  <c r="G23" i="19"/>
  <c r="G17" i="19"/>
  <c r="G16" i="19"/>
  <c r="G15" i="19"/>
  <c r="G14" i="19"/>
  <c r="G13" i="19"/>
  <c r="G11" i="19"/>
  <c r="G10" i="19"/>
  <c r="G9" i="19"/>
  <c r="G8" i="19"/>
  <c r="G7" i="19"/>
  <c r="G41" i="16"/>
  <c r="G40" i="16"/>
  <c r="G35" i="16"/>
  <c r="G34" i="16"/>
  <c r="G29" i="16"/>
  <c r="G28" i="16"/>
  <c r="C11" i="28" s="1"/>
  <c r="G23" i="16"/>
  <c r="G22" i="16"/>
  <c r="G17" i="16"/>
  <c r="G16" i="16"/>
  <c r="G15" i="16"/>
  <c r="E18" i="16"/>
  <c r="G10" i="16"/>
  <c r="G9" i="16"/>
  <c r="F18" i="36"/>
  <c r="H18" i="36" s="1"/>
  <c r="M18" i="36" s="1"/>
  <c r="O18" i="36" s="1"/>
  <c r="AA39" i="54"/>
  <c r="J13" i="56"/>
  <c r="F20" i="32"/>
  <c r="H20" i="32" s="1"/>
  <c r="M20" i="32" s="1"/>
  <c r="O20" i="32" s="1"/>
  <c r="C19" i="54"/>
  <c r="T38" i="6"/>
  <c r="U38" i="6" s="1"/>
  <c r="D22" i="3"/>
  <c r="D9" i="3"/>
  <c r="F16" i="31"/>
  <c r="AG38" i="59"/>
  <c r="AG39" i="59"/>
  <c r="AG37" i="59"/>
  <c r="AE38" i="57"/>
  <c r="AE39" i="58"/>
  <c r="AE37" i="59"/>
  <c r="AC38" i="58"/>
  <c r="AC37" i="59"/>
  <c r="AC37" i="58"/>
  <c r="AG33" i="59"/>
  <c r="AG34" i="59"/>
  <c r="AG35" i="59"/>
  <c r="AG32" i="59"/>
  <c r="AG32" i="58"/>
  <c r="AE33" i="59"/>
  <c r="AE34" i="59"/>
  <c r="AE35" i="59"/>
  <c r="AE32" i="59"/>
  <c r="AC33" i="59"/>
  <c r="AC34" i="59"/>
  <c r="AC35" i="59"/>
  <c r="AC32" i="58"/>
  <c r="AC36" i="58" s="1"/>
  <c r="AC32" i="59"/>
  <c r="B36" i="56"/>
  <c r="G19" i="54"/>
  <c r="T39" i="6"/>
  <c r="U39" i="6" s="1"/>
  <c r="J19" i="6"/>
  <c r="K19" i="6" s="1"/>
  <c r="F19" i="6"/>
  <c r="G19" i="6" s="1"/>
  <c r="D19" i="6"/>
  <c r="E19" i="6" s="1"/>
  <c r="K19" i="5"/>
  <c r="I19" i="5"/>
  <c r="E19" i="5"/>
  <c r="K19" i="4"/>
  <c r="I19" i="4"/>
  <c r="G19" i="4"/>
  <c r="C18" i="54"/>
  <c r="C8" i="54"/>
  <c r="I8" i="54"/>
  <c r="G8" i="54"/>
  <c r="E8" i="54"/>
  <c r="C36" i="56"/>
  <c r="D36" i="56"/>
  <c r="E36" i="56"/>
  <c r="F36" i="56"/>
  <c r="G36" i="56"/>
  <c r="H36" i="56"/>
  <c r="D25" i="3"/>
  <c r="H14" i="37"/>
  <c r="M14" i="37" s="1"/>
  <c r="O14" i="37" s="1"/>
  <c r="F11" i="44"/>
  <c r="H11" i="44" s="1"/>
  <c r="M11" i="44" s="1"/>
  <c r="O11" i="44" s="1"/>
  <c r="F11" i="43"/>
  <c r="H11" i="43" s="1"/>
  <c r="M11" i="43" s="1"/>
  <c r="O11" i="43" s="1"/>
  <c r="F11" i="37"/>
  <c r="H11" i="37" s="1"/>
  <c r="M11" i="37" s="1"/>
  <c r="F6" i="37"/>
  <c r="F15" i="34"/>
  <c r="H15" i="34" s="1"/>
  <c r="M15" i="34" s="1"/>
  <c r="O15" i="34" s="1"/>
  <c r="F8" i="34"/>
  <c r="F8" i="32"/>
  <c r="H8" i="32" s="1"/>
  <c r="M8" i="32" s="1"/>
  <c r="O8" i="32" s="1"/>
  <c r="L8" i="3"/>
  <c r="E21" i="4"/>
  <c r="E17" i="4"/>
  <c r="E18" i="4"/>
  <c r="E19" i="4"/>
  <c r="L19" i="3"/>
  <c r="C31" i="56"/>
  <c r="D31" i="56"/>
  <c r="E31" i="56"/>
  <c r="F31" i="56"/>
  <c r="G31" i="56"/>
  <c r="H31" i="56"/>
  <c r="B31" i="56"/>
  <c r="F9" i="31"/>
  <c r="H9" i="31" s="1"/>
  <c r="M9" i="31" s="1"/>
  <c r="O9" i="31" s="1"/>
  <c r="F25" i="31"/>
  <c r="H25" i="31" s="1"/>
  <c r="M25" i="31" s="1"/>
  <c r="B9" i="56"/>
  <c r="B16" i="56"/>
  <c r="B22" i="56"/>
  <c r="B25" i="56"/>
  <c r="B28" i="56"/>
  <c r="B40" i="56"/>
  <c r="T32" i="6"/>
  <c r="U32" i="6" s="1"/>
  <c r="AF39" i="6"/>
  <c r="AG39" i="6" s="1"/>
  <c r="C40" i="56"/>
  <c r="D40" i="56"/>
  <c r="E40" i="56"/>
  <c r="F40" i="56"/>
  <c r="G40" i="56"/>
  <c r="H40" i="56"/>
  <c r="F6" i="40"/>
  <c r="H6" i="40" s="1"/>
  <c r="M6" i="40" s="1"/>
  <c r="O6" i="40" s="1"/>
  <c r="O7" i="40" s="1"/>
  <c r="F6" i="39"/>
  <c r="H6" i="39" s="1"/>
  <c r="M6" i="39" s="1"/>
  <c r="O6" i="39" s="1"/>
  <c r="O7" i="39" s="1"/>
  <c r="F6" i="38"/>
  <c r="H6" i="38" s="1"/>
  <c r="M6" i="38" s="1"/>
  <c r="F6" i="36"/>
  <c r="F7" i="36" s="1"/>
  <c r="G7" i="36"/>
  <c r="D7" i="40"/>
  <c r="D7" i="35"/>
  <c r="D7" i="36"/>
  <c r="D7" i="37"/>
  <c r="D7" i="38"/>
  <c r="D7" i="39"/>
  <c r="E7" i="40"/>
  <c r="E7" i="35"/>
  <c r="E7" i="36"/>
  <c r="E7" i="37"/>
  <c r="E7" i="38"/>
  <c r="E7" i="39"/>
  <c r="G7" i="37"/>
  <c r="F6" i="35"/>
  <c r="F7" i="35" s="1"/>
  <c r="G7" i="40"/>
  <c r="G7" i="35"/>
  <c r="G7" i="38"/>
  <c r="G7" i="39"/>
  <c r="I7" i="40"/>
  <c r="I7" i="35"/>
  <c r="I7" i="36"/>
  <c r="I7" i="37"/>
  <c r="I7" i="38"/>
  <c r="I7" i="39"/>
  <c r="J7" i="40"/>
  <c r="J7" i="35"/>
  <c r="J7" i="36"/>
  <c r="J7" i="37"/>
  <c r="J7" i="38"/>
  <c r="J7" i="39"/>
  <c r="K7" i="40"/>
  <c r="K7" i="35"/>
  <c r="K7" i="36"/>
  <c r="K7" i="37"/>
  <c r="K7" i="38"/>
  <c r="K7" i="39"/>
  <c r="L7" i="40"/>
  <c r="L7" i="35"/>
  <c r="L7" i="36"/>
  <c r="L7" i="37"/>
  <c r="L7" i="38"/>
  <c r="L7" i="39"/>
  <c r="N7" i="40"/>
  <c r="N7" i="35"/>
  <c r="N7" i="36"/>
  <c r="N7" i="37"/>
  <c r="N7" i="38"/>
  <c r="N7" i="39"/>
  <c r="C7" i="40"/>
  <c r="C7" i="35"/>
  <c r="C7" i="36"/>
  <c r="C7" i="37"/>
  <c r="C7" i="38"/>
  <c r="C7" i="39"/>
  <c r="B7" i="40"/>
  <c r="B7" i="35"/>
  <c r="B7" i="36"/>
  <c r="B7" i="37"/>
  <c r="B7" i="38"/>
  <c r="B7" i="39"/>
  <c r="F18" i="35"/>
  <c r="H18" i="35" s="1"/>
  <c r="F8" i="39"/>
  <c r="H8" i="39" s="1"/>
  <c r="M8" i="39" s="1"/>
  <c r="M10" i="39" s="1"/>
  <c r="F24" i="34"/>
  <c r="H24" i="34" s="1"/>
  <c r="M24" i="34" s="1"/>
  <c r="O24" i="34" s="1"/>
  <c r="F22" i="34"/>
  <c r="H22" i="34" s="1"/>
  <c r="M22" i="34" s="1"/>
  <c r="O22" i="34" s="1"/>
  <c r="F21" i="34"/>
  <c r="H21" i="34" s="1"/>
  <c r="M21" i="34" s="1"/>
  <c r="O21" i="34" s="1"/>
  <c r="F24" i="33"/>
  <c r="H24" i="33" s="1"/>
  <c r="M24" i="33" s="1"/>
  <c r="O24" i="33" s="1"/>
  <c r="F22" i="33"/>
  <c r="H22" i="33" s="1"/>
  <c r="M22" i="33" s="1"/>
  <c r="O22" i="33" s="1"/>
  <c r="F15" i="33"/>
  <c r="H15" i="33" s="1"/>
  <c r="F23" i="32"/>
  <c r="H23" i="32" s="1"/>
  <c r="M23" i="32" s="1"/>
  <c r="O23" i="32" s="1"/>
  <c r="F21" i="32"/>
  <c r="H21" i="32" s="1"/>
  <c r="M21" i="32" s="1"/>
  <c r="O21" i="32" s="1"/>
  <c r="F14" i="32"/>
  <c r="H14" i="32" s="1"/>
  <c r="M14" i="32" s="1"/>
  <c r="O14" i="32" s="1"/>
  <c r="F24" i="31"/>
  <c r="H24" i="31" s="1"/>
  <c r="F22" i="31"/>
  <c r="H22" i="31" s="1"/>
  <c r="F21" i="31"/>
  <c r="H21" i="31" s="1"/>
  <c r="M21" i="31" s="1"/>
  <c r="O21" i="31" s="1"/>
  <c r="F15" i="31"/>
  <c r="H15" i="31" s="1"/>
  <c r="M15" i="31" s="1"/>
  <c r="O15" i="31" s="1"/>
  <c r="F13" i="34"/>
  <c r="H13" i="34" s="1"/>
  <c r="F13" i="33"/>
  <c r="H13" i="33" s="1"/>
  <c r="M13" i="33" s="1"/>
  <c r="O13" i="33" s="1"/>
  <c r="F12" i="32"/>
  <c r="H12" i="32" s="1"/>
  <c r="M12" i="32" s="1"/>
  <c r="O12" i="32" s="1"/>
  <c r="F13" i="31"/>
  <c r="H13" i="31" s="1"/>
  <c r="M13" i="31" s="1"/>
  <c r="F9" i="34"/>
  <c r="H9" i="34" s="1"/>
  <c r="M9" i="34" s="1"/>
  <c r="O9" i="34" s="1"/>
  <c r="F9" i="33"/>
  <c r="H9" i="33" s="1"/>
  <c r="M9" i="33" s="1"/>
  <c r="O9" i="33" s="1"/>
  <c r="F9" i="32"/>
  <c r="H9" i="32" s="1"/>
  <c r="M9" i="32" s="1"/>
  <c r="F20" i="34"/>
  <c r="H20" i="34" s="1"/>
  <c r="M20" i="34" s="1"/>
  <c r="O20" i="34" s="1"/>
  <c r="F20" i="33"/>
  <c r="H20" i="33" s="1"/>
  <c r="M20" i="33" s="1"/>
  <c r="O20" i="33" s="1"/>
  <c r="F19" i="32"/>
  <c r="H19" i="32" s="1"/>
  <c r="M19" i="32" s="1"/>
  <c r="O19" i="32" s="1"/>
  <c r="F20" i="31"/>
  <c r="H20" i="31" s="1"/>
  <c r="M20" i="31" s="1"/>
  <c r="F19" i="34"/>
  <c r="H19" i="34" s="1"/>
  <c r="M19" i="34" s="1"/>
  <c r="O19" i="34" s="1"/>
  <c r="F19" i="33"/>
  <c r="H19" i="33" s="1"/>
  <c r="M19" i="33" s="1"/>
  <c r="O19" i="33" s="1"/>
  <c r="F18" i="32"/>
  <c r="H18" i="32" s="1"/>
  <c r="M18" i="32" s="1"/>
  <c r="O18" i="32" s="1"/>
  <c r="F19" i="31"/>
  <c r="H19" i="31" s="1"/>
  <c r="F18" i="34"/>
  <c r="H18" i="34" s="1"/>
  <c r="M18" i="34" s="1"/>
  <c r="O18" i="34" s="1"/>
  <c r="F18" i="33"/>
  <c r="H18" i="33" s="1"/>
  <c r="M18" i="33" s="1"/>
  <c r="F17" i="32"/>
  <c r="H17" i="32" s="1"/>
  <c r="M17" i="32" s="1"/>
  <c r="O17" i="32" s="1"/>
  <c r="F18" i="31"/>
  <c r="H18" i="31" s="1"/>
  <c r="M18" i="31" s="1"/>
  <c r="O18" i="31" s="1"/>
  <c r="F16" i="33"/>
  <c r="H16" i="33" s="1"/>
  <c r="M16" i="33" s="1"/>
  <c r="O16" i="33" s="1"/>
  <c r="F14" i="33"/>
  <c r="H14" i="33" s="1"/>
  <c r="M14" i="33" s="1"/>
  <c r="O14" i="33" s="1"/>
  <c r="F13" i="32"/>
  <c r="H13" i="32" s="1"/>
  <c r="M13" i="32" s="1"/>
  <c r="O13" i="32" s="1"/>
  <c r="F14" i="31"/>
  <c r="H14" i="31" s="1"/>
  <c r="F12" i="34"/>
  <c r="H12" i="34" s="1"/>
  <c r="M12" i="34" s="1"/>
  <c r="O12" i="34" s="1"/>
  <c r="F12" i="33"/>
  <c r="H12" i="33" s="1"/>
  <c r="M12" i="33" s="1"/>
  <c r="O12" i="33" s="1"/>
  <c r="F11" i="32"/>
  <c r="H11" i="32" s="1"/>
  <c r="M11" i="32" s="1"/>
  <c r="O11" i="32" s="1"/>
  <c r="F12" i="31"/>
  <c r="H12" i="31" s="1"/>
  <c r="F6" i="34"/>
  <c r="H6" i="34" s="1"/>
  <c r="M6" i="34" s="1"/>
  <c r="O6" i="34" s="1"/>
  <c r="AE35" i="5"/>
  <c r="E24" i="4"/>
  <c r="C28" i="56"/>
  <c r="D28" i="56"/>
  <c r="E28" i="56"/>
  <c r="F28" i="56"/>
  <c r="G28" i="56"/>
  <c r="H28" i="56"/>
  <c r="H9" i="56"/>
  <c r="H22" i="56"/>
  <c r="H16" i="56"/>
  <c r="H25" i="56"/>
  <c r="C9" i="56"/>
  <c r="C22" i="56"/>
  <c r="C16" i="56"/>
  <c r="C25" i="56"/>
  <c r="G25" i="56"/>
  <c r="D25" i="56"/>
  <c r="F25" i="56"/>
  <c r="E25" i="56"/>
  <c r="I25" i="56"/>
  <c r="D9" i="56"/>
  <c r="D22" i="56"/>
  <c r="D16" i="56"/>
  <c r="E9" i="56"/>
  <c r="E22" i="56"/>
  <c r="E16" i="56"/>
  <c r="F9" i="56"/>
  <c r="F22" i="56"/>
  <c r="F16" i="56"/>
  <c r="G9" i="56"/>
  <c r="G22" i="56"/>
  <c r="G16" i="56"/>
  <c r="I9" i="56"/>
  <c r="I16" i="56"/>
  <c r="I22" i="56"/>
  <c r="AD36" i="4"/>
  <c r="I6" i="53"/>
  <c r="L5" i="3"/>
  <c r="L11" i="3"/>
  <c r="L13" i="3"/>
  <c r="L14" i="3"/>
  <c r="L15" i="3"/>
  <c r="L18" i="3"/>
  <c r="L20" i="3"/>
  <c r="J39" i="56"/>
  <c r="J38" i="56"/>
  <c r="J37" i="56"/>
  <c r="J35" i="56"/>
  <c r="J34" i="56"/>
  <c r="J33" i="56"/>
  <c r="J32" i="56"/>
  <c r="J29" i="56"/>
  <c r="J27" i="56"/>
  <c r="J24" i="56"/>
  <c r="J23" i="56"/>
  <c r="J21" i="56"/>
  <c r="J20" i="56"/>
  <c r="J19" i="56"/>
  <c r="J18" i="56"/>
  <c r="J17" i="56"/>
  <c r="J15" i="56"/>
  <c r="J14" i="56"/>
  <c r="J12" i="56"/>
  <c r="J11" i="56"/>
  <c r="J8" i="56"/>
  <c r="J7" i="56"/>
  <c r="J6" i="56"/>
  <c r="J5" i="56"/>
  <c r="AA35" i="54"/>
  <c r="Y37" i="4"/>
  <c r="L28" i="54"/>
  <c r="B16" i="54"/>
  <c r="C15" i="54"/>
  <c r="AH39" i="3"/>
  <c r="X39" i="54"/>
  <c r="AF39" i="54"/>
  <c r="E23" i="4"/>
  <c r="F25" i="4"/>
  <c r="G23" i="4"/>
  <c r="I23" i="4"/>
  <c r="J25" i="4"/>
  <c r="K23" i="4"/>
  <c r="L23" i="4"/>
  <c r="AJ23" i="4" s="1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E23" i="5"/>
  <c r="E24" i="5"/>
  <c r="F25" i="5"/>
  <c r="H25" i="5"/>
  <c r="I23" i="5"/>
  <c r="J25" i="5"/>
  <c r="K23" i="5"/>
  <c r="L23" i="5"/>
  <c r="L24" i="5"/>
  <c r="AJ24" i="5" s="1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3" i="5"/>
  <c r="D23" i="6"/>
  <c r="E23" i="6" s="1"/>
  <c r="D24" i="6"/>
  <c r="E24" i="6" s="1"/>
  <c r="F23" i="6"/>
  <c r="G23" i="6" s="1"/>
  <c r="H23" i="6"/>
  <c r="I23" i="6" s="1"/>
  <c r="J23" i="6"/>
  <c r="K23" i="6" s="1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E23" i="54"/>
  <c r="E24" i="54"/>
  <c r="E25" i="54" s="1"/>
  <c r="F25" i="54"/>
  <c r="G23" i="54"/>
  <c r="H25" i="54"/>
  <c r="I23" i="54"/>
  <c r="J23" i="54"/>
  <c r="J24" i="54"/>
  <c r="AH24" i="54" s="1"/>
  <c r="L25" i="54"/>
  <c r="M25" i="54"/>
  <c r="N25" i="54"/>
  <c r="O25" i="54"/>
  <c r="P25" i="54"/>
  <c r="Q25" i="54"/>
  <c r="R25" i="54"/>
  <c r="S25" i="54"/>
  <c r="T25" i="54"/>
  <c r="U25" i="54"/>
  <c r="V25" i="54"/>
  <c r="W25" i="54"/>
  <c r="X25" i="54"/>
  <c r="Y25" i="54"/>
  <c r="Z25" i="54"/>
  <c r="AA25" i="54"/>
  <c r="AB25" i="54"/>
  <c r="AC25" i="54"/>
  <c r="AD25" i="54"/>
  <c r="AE25" i="54"/>
  <c r="AF25" i="54"/>
  <c r="AG25" i="54"/>
  <c r="M23" i="3"/>
  <c r="N25" i="3"/>
  <c r="O25" i="3"/>
  <c r="P25" i="3"/>
  <c r="Q25" i="3"/>
  <c r="R25" i="3"/>
  <c r="S25" i="3"/>
  <c r="T25" i="3"/>
  <c r="U25" i="3"/>
  <c r="V25" i="3"/>
  <c r="W25" i="3"/>
  <c r="X25" i="3"/>
  <c r="Y25" i="3"/>
  <c r="AB25" i="3"/>
  <c r="AC25" i="3"/>
  <c r="AD25" i="3"/>
  <c r="AE25" i="3"/>
  <c r="AF25" i="3"/>
  <c r="AG25" i="3"/>
  <c r="AG45" i="3" s="1"/>
  <c r="D25" i="4"/>
  <c r="D25" i="5"/>
  <c r="D25" i="54"/>
  <c r="AE33" i="5"/>
  <c r="B9" i="54"/>
  <c r="F8" i="38"/>
  <c r="F11" i="38"/>
  <c r="F12" i="38"/>
  <c r="H12" i="38" s="1"/>
  <c r="M12" i="38" s="1"/>
  <c r="F13" i="38"/>
  <c r="H13" i="38" s="1"/>
  <c r="M13" i="38" s="1"/>
  <c r="O13" i="38" s="1"/>
  <c r="F14" i="38"/>
  <c r="H14" i="38" s="1"/>
  <c r="M14" i="38" s="1"/>
  <c r="O14" i="38" s="1"/>
  <c r="F17" i="38"/>
  <c r="F18" i="38"/>
  <c r="F16" i="38"/>
  <c r="H16" i="38" s="1"/>
  <c r="M16" i="38" s="1"/>
  <c r="G19" i="38"/>
  <c r="G10" i="38"/>
  <c r="G15" i="38"/>
  <c r="H8" i="37"/>
  <c r="M8" i="37" s="1"/>
  <c r="E10" i="36"/>
  <c r="G13" i="16"/>
  <c r="G7" i="16"/>
  <c r="G19" i="16"/>
  <c r="G25" i="16"/>
  <c r="G31" i="16"/>
  <c r="G37" i="16"/>
  <c r="G11" i="16"/>
  <c r="G21" i="16"/>
  <c r="G27" i="16"/>
  <c r="G33" i="16"/>
  <c r="G39" i="16"/>
  <c r="G8" i="16"/>
  <c r="G14" i="16"/>
  <c r="G20" i="16"/>
  <c r="G26" i="16"/>
  <c r="G32" i="16"/>
  <c r="G38" i="16"/>
  <c r="F6" i="42"/>
  <c r="F6" i="43"/>
  <c r="H6" i="43" s="1"/>
  <c r="M6" i="43" s="1"/>
  <c r="F6" i="44"/>
  <c r="H6" i="44"/>
  <c r="M6" i="44" s="1"/>
  <c r="F8" i="35"/>
  <c r="H8" i="35" s="1"/>
  <c r="M8" i="35" s="1"/>
  <c r="F8" i="36"/>
  <c r="F10" i="36" s="1"/>
  <c r="F8" i="40"/>
  <c r="H8" i="40" s="1"/>
  <c r="M8" i="40" s="1"/>
  <c r="F8" i="43"/>
  <c r="H8" i="43" s="1"/>
  <c r="F8" i="44"/>
  <c r="H8" i="44" s="1"/>
  <c r="M8" i="44"/>
  <c r="F11" i="35"/>
  <c r="H11" i="35" s="1"/>
  <c r="M11" i="35" s="1"/>
  <c r="F12" i="35"/>
  <c r="F13" i="35"/>
  <c r="H13" i="35" s="1"/>
  <c r="M13" i="35" s="1"/>
  <c r="O13" i="35" s="1"/>
  <c r="F14" i="35"/>
  <c r="H14" i="35" s="1"/>
  <c r="M14" i="35" s="1"/>
  <c r="F11" i="36"/>
  <c r="H11" i="36" s="1"/>
  <c r="M11" i="36" s="1"/>
  <c r="F12" i="36"/>
  <c r="H12" i="36" s="1"/>
  <c r="M12" i="36" s="1"/>
  <c r="O12" i="36" s="1"/>
  <c r="F13" i="36"/>
  <c r="H13" i="36" s="1"/>
  <c r="M13" i="36" s="1"/>
  <c r="O13" i="36" s="1"/>
  <c r="F14" i="36"/>
  <c r="H14" i="36" s="1"/>
  <c r="M14" i="36" s="1"/>
  <c r="O14" i="36" s="1"/>
  <c r="F12" i="37"/>
  <c r="H12" i="37" s="1"/>
  <c r="M12" i="37" s="1"/>
  <c r="O12" i="37" s="1"/>
  <c r="F13" i="37"/>
  <c r="H13" i="37" s="1"/>
  <c r="M13" i="37" s="1"/>
  <c r="O13" i="37" s="1"/>
  <c r="H11" i="38"/>
  <c r="M11" i="38" s="1"/>
  <c r="O11" i="38" s="1"/>
  <c r="F11" i="39"/>
  <c r="H11" i="39" s="1"/>
  <c r="M11" i="39" s="1"/>
  <c r="O11" i="39" s="1"/>
  <c r="H12" i="39"/>
  <c r="M12" i="39" s="1"/>
  <c r="O12" i="39" s="1"/>
  <c r="F13" i="39"/>
  <c r="H13" i="39" s="1"/>
  <c r="M13" i="39" s="1"/>
  <c r="O13" i="39" s="1"/>
  <c r="F14" i="39"/>
  <c r="F11" i="40"/>
  <c r="H11" i="40" s="1"/>
  <c r="M11" i="40" s="1"/>
  <c r="F12" i="40"/>
  <c r="F13" i="40"/>
  <c r="F14" i="40"/>
  <c r="H14" i="40" s="1"/>
  <c r="M14" i="40" s="1"/>
  <c r="O14" i="40" s="1"/>
  <c r="F11" i="42"/>
  <c r="H11" i="42" s="1"/>
  <c r="M11" i="42" s="1"/>
  <c r="F12" i="42"/>
  <c r="H12" i="42" s="1"/>
  <c r="M12" i="42" s="1"/>
  <c r="F13" i="42"/>
  <c r="H13" i="42" s="1"/>
  <c r="F14" i="42"/>
  <c r="H14" i="42" s="1"/>
  <c r="H12" i="43"/>
  <c r="M12" i="43" s="1"/>
  <c r="O12" i="43" s="1"/>
  <c r="F13" i="43"/>
  <c r="H13" i="43" s="1"/>
  <c r="M13" i="43" s="1"/>
  <c r="F12" i="44"/>
  <c r="H12" i="44" s="1"/>
  <c r="M12" i="44" s="1"/>
  <c r="F13" i="44"/>
  <c r="F14" i="44"/>
  <c r="H14" i="44" s="1"/>
  <c r="M14" i="44" s="1"/>
  <c r="F16" i="35"/>
  <c r="H16" i="35" s="1"/>
  <c r="F17" i="35"/>
  <c r="H17" i="35" s="1"/>
  <c r="F16" i="36"/>
  <c r="F17" i="36"/>
  <c r="H17" i="36" s="1"/>
  <c r="M17" i="36" s="1"/>
  <c r="F17" i="37"/>
  <c r="H17" i="37" s="1"/>
  <c r="M17" i="37" s="1"/>
  <c r="O17" i="37" s="1"/>
  <c r="F16" i="39"/>
  <c r="H16" i="39" s="1"/>
  <c r="M16" i="39" s="1"/>
  <c r="F17" i="39"/>
  <c r="H17" i="39" s="1"/>
  <c r="M17" i="39" s="1"/>
  <c r="F18" i="39"/>
  <c r="H18" i="39" s="1"/>
  <c r="M18" i="39" s="1"/>
  <c r="O18" i="39" s="1"/>
  <c r="F16" i="40"/>
  <c r="H16" i="40" s="1"/>
  <c r="M16" i="40" s="1"/>
  <c r="O16" i="40" s="1"/>
  <c r="F17" i="40"/>
  <c r="H17" i="40" s="1"/>
  <c r="M17" i="40" s="1"/>
  <c r="O17" i="40" s="1"/>
  <c r="F18" i="40"/>
  <c r="H18" i="40" s="1"/>
  <c r="M18" i="40" s="1"/>
  <c r="O18" i="40" s="1"/>
  <c r="F16" i="42"/>
  <c r="H16" i="42" s="1"/>
  <c r="F17" i="42"/>
  <c r="H17" i="42" s="1"/>
  <c r="F18" i="42"/>
  <c r="H18" i="42" s="1"/>
  <c r="M18" i="42" s="1"/>
  <c r="O18" i="42" s="1"/>
  <c r="F16" i="43"/>
  <c r="H16" i="43" s="1"/>
  <c r="M16" i="43" s="1"/>
  <c r="O16" i="43" s="1"/>
  <c r="H17" i="43"/>
  <c r="F18" i="43"/>
  <c r="H18" i="43" s="1"/>
  <c r="M18" i="43" s="1"/>
  <c r="O18" i="43" s="1"/>
  <c r="F16" i="44"/>
  <c r="F17" i="44"/>
  <c r="H17" i="44" s="1"/>
  <c r="M17" i="44" s="1"/>
  <c r="O17" i="44" s="1"/>
  <c r="F18" i="44"/>
  <c r="H18" i="44" s="1"/>
  <c r="N10" i="33"/>
  <c r="N17" i="33"/>
  <c r="N23" i="33"/>
  <c r="N26" i="33"/>
  <c r="B17" i="33"/>
  <c r="B10" i="33"/>
  <c r="B23" i="33"/>
  <c r="B26" i="33"/>
  <c r="C17" i="33"/>
  <c r="C10" i="33"/>
  <c r="C23" i="33"/>
  <c r="C26" i="33"/>
  <c r="D17" i="33"/>
  <c r="D26" i="33"/>
  <c r="D10" i="33"/>
  <c r="D23" i="33"/>
  <c r="E26" i="33"/>
  <c r="E17" i="33"/>
  <c r="E10" i="33"/>
  <c r="E23" i="33"/>
  <c r="G23" i="33"/>
  <c r="G26" i="33"/>
  <c r="G10" i="33"/>
  <c r="G17" i="33"/>
  <c r="I23" i="33"/>
  <c r="I26" i="33"/>
  <c r="I10" i="33"/>
  <c r="I17" i="33"/>
  <c r="K26" i="33"/>
  <c r="K10" i="33"/>
  <c r="K17" i="33"/>
  <c r="K23" i="33"/>
  <c r="J10" i="33"/>
  <c r="J17" i="33"/>
  <c r="J23" i="33"/>
  <c r="J26" i="33"/>
  <c r="L10" i="33"/>
  <c r="L17" i="33"/>
  <c r="L23" i="33"/>
  <c r="L26" i="33"/>
  <c r="B17" i="31"/>
  <c r="B23" i="31"/>
  <c r="B10" i="31"/>
  <c r="B26" i="31"/>
  <c r="C17" i="31"/>
  <c r="C23" i="31"/>
  <c r="C10" i="31"/>
  <c r="C26" i="31"/>
  <c r="D17" i="31"/>
  <c r="D26" i="31"/>
  <c r="D10" i="31"/>
  <c r="D23" i="31"/>
  <c r="E17" i="31"/>
  <c r="E26" i="31"/>
  <c r="E10" i="31"/>
  <c r="E23" i="31"/>
  <c r="G26" i="31"/>
  <c r="G10" i="31"/>
  <c r="G17" i="31"/>
  <c r="G23" i="31"/>
  <c r="G10" i="32"/>
  <c r="G16" i="32"/>
  <c r="G22" i="32"/>
  <c r="G25" i="32"/>
  <c r="G10" i="34"/>
  <c r="G17" i="34"/>
  <c r="G23" i="34"/>
  <c r="G26" i="34"/>
  <c r="I23" i="31"/>
  <c r="I26" i="31"/>
  <c r="I10" i="31"/>
  <c r="I17" i="31"/>
  <c r="J10" i="31"/>
  <c r="J17" i="31"/>
  <c r="J23" i="31"/>
  <c r="J26" i="31"/>
  <c r="K10" i="31"/>
  <c r="K17" i="31"/>
  <c r="K23" i="31"/>
  <c r="K26" i="31"/>
  <c r="K10" i="32"/>
  <c r="K16" i="32"/>
  <c r="K22" i="32"/>
  <c r="K25" i="32"/>
  <c r="K10" i="34"/>
  <c r="K17" i="34"/>
  <c r="K23" i="34"/>
  <c r="K26" i="34"/>
  <c r="L10" i="31"/>
  <c r="L17" i="31"/>
  <c r="L23" i="31"/>
  <c r="L26" i="31"/>
  <c r="N10" i="31"/>
  <c r="N17" i="31"/>
  <c r="N23" i="31"/>
  <c r="N26" i="31"/>
  <c r="B10" i="32"/>
  <c r="B16" i="32"/>
  <c r="B25" i="32"/>
  <c r="B22" i="32"/>
  <c r="C16" i="32"/>
  <c r="C22" i="32"/>
  <c r="F22" i="32" s="1"/>
  <c r="H22" i="32" s="1"/>
  <c r="C25" i="32"/>
  <c r="C10" i="32"/>
  <c r="D16" i="32"/>
  <c r="D25" i="32"/>
  <c r="D10" i="32"/>
  <c r="D22" i="32"/>
  <c r="D10" i="34"/>
  <c r="D17" i="34"/>
  <c r="D23" i="34"/>
  <c r="D26" i="34"/>
  <c r="E25" i="32"/>
  <c r="E10" i="32"/>
  <c r="E16" i="32"/>
  <c r="E22" i="32"/>
  <c r="I25" i="32"/>
  <c r="I22" i="32"/>
  <c r="I10" i="32"/>
  <c r="I16" i="32"/>
  <c r="J10" i="32"/>
  <c r="J16" i="32"/>
  <c r="J22" i="32"/>
  <c r="J25" i="32"/>
  <c r="L10" i="32"/>
  <c r="L16" i="32"/>
  <c r="L22" i="32"/>
  <c r="L25" i="32"/>
  <c r="L10" i="34"/>
  <c r="L17" i="34"/>
  <c r="L23" i="34"/>
  <c r="L26" i="34"/>
  <c r="N10" i="32"/>
  <c r="N16" i="32"/>
  <c r="N22" i="32"/>
  <c r="N25" i="32"/>
  <c r="B17" i="34"/>
  <c r="B26" i="34"/>
  <c r="B10" i="34"/>
  <c r="B23" i="34"/>
  <c r="C17" i="34"/>
  <c r="C23" i="34"/>
  <c r="C26" i="34"/>
  <c r="C10" i="34"/>
  <c r="E17" i="34"/>
  <c r="E26" i="34"/>
  <c r="E10" i="34"/>
  <c r="E23" i="34"/>
  <c r="I10" i="34"/>
  <c r="I23" i="34"/>
  <c r="I26" i="34"/>
  <c r="I17" i="34"/>
  <c r="J10" i="34"/>
  <c r="J23" i="34"/>
  <c r="J17" i="34"/>
  <c r="J26" i="34"/>
  <c r="N26" i="34"/>
  <c r="N10" i="34"/>
  <c r="N17" i="34"/>
  <c r="N23" i="34"/>
  <c r="V36" i="54"/>
  <c r="W36" i="54" s="1"/>
  <c r="W33" i="54"/>
  <c r="W34" i="54"/>
  <c r="W35" i="54"/>
  <c r="W32" i="54"/>
  <c r="X32" i="6"/>
  <c r="Y32" i="6" s="1"/>
  <c r="X36" i="4"/>
  <c r="X36" i="5"/>
  <c r="Y36" i="5" s="1"/>
  <c r="X33" i="6"/>
  <c r="X34" i="6"/>
  <c r="Y34" i="6" s="1"/>
  <c r="X35" i="6"/>
  <c r="Y35" i="6"/>
  <c r="Y35" i="5"/>
  <c r="Y34" i="5"/>
  <c r="Y33" i="5"/>
  <c r="Y32" i="5"/>
  <c r="D12" i="16"/>
  <c r="N15" i="35"/>
  <c r="N10" i="35"/>
  <c r="N19" i="35"/>
  <c r="N15" i="36"/>
  <c r="N10" i="36"/>
  <c r="N19" i="36"/>
  <c r="N15" i="37"/>
  <c r="N10" i="37"/>
  <c r="N19" i="37"/>
  <c r="N15" i="38"/>
  <c r="N10" i="38"/>
  <c r="N19" i="38"/>
  <c r="N15" i="39"/>
  <c r="N10" i="39"/>
  <c r="N19" i="39"/>
  <c r="N19" i="40"/>
  <c r="N10" i="40"/>
  <c r="N15" i="40"/>
  <c r="N15" i="42"/>
  <c r="N19" i="42"/>
  <c r="N7" i="42"/>
  <c r="N15" i="43"/>
  <c r="N19" i="43"/>
  <c r="N7" i="43"/>
  <c r="N15" i="44"/>
  <c r="N19" i="44"/>
  <c r="N7" i="44"/>
  <c r="B10" i="35"/>
  <c r="B15" i="35"/>
  <c r="B19" i="35"/>
  <c r="B10" i="36"/>
  <c r="B15" i="36"/>
  <c r="B19" i="36"/>
  <c r="B10" i="37"/>
  <c r="B15" i="37"/>
  <c r="B19" i="37"/>
  <c r="B10" i="38"/>
  <c r="B15" i="38"/>
  <c r="B19" i="38"/>
  <c r="B10" i="39"/>
  <c r="B15" i="39"/>
  <c r="B19" i="39"/>
  <c r="B10" i="40"/>
  <c r="B19" i="40"/>
  <c r="B15" i="40"/>
  <c r="B15" i="42"/>
  <c r="B20" i="42" s="1"/>
  <c r="B19" i="42"/>
  <c r="B7" i="42"/>
  <c r="B10" i="42"/>
  <c r="B15" i="43"/>
  <c r="B19" i="43"/>
  <c r="B7" i="43"/>
  <c r="B7" i="45" s="1"/>
  <c r="B10" i="43"/>
  <c r="B15" i="44"/>
  <c r="B19" i="44"/>
  <c r="B7" i="44"/>
  <c r="B10" i="44"/>
  <c r="L27" i="3"/>
  <c r="Z27" i="3"/>
  <c r="Z29" i="3"/>
  <c r="AJ29" i="3" s="1"/>
  <c r="B8" i="47" s="1"/>
  <c r="L32" i="3"/>
  <c r="Z32" i="3"/>
  <c r="AH32" i="3"/>
  <c r="L33" i="3"/>
  <c r="AH33" i="3"/>
  <c r="L34" i="3"/>
  <c r="AH34" i="3"/>
  <c r="L35" i="3"/>
  <c r="Z35" i="3"/>
  <c r="AH35" i="3"/>
  <c r="L37" i="3"/>
  <c r="Z37" i="3"/>
  <c r="AH37" i="3"/>
  <c r="AH38" i="3"/>
  <c r="Z38" i="3"/>
  <c r="L38" i="3"/>
  <c r="L39" i="3"/>
  <c r="AF36" i="3"/>
  <c r="AF40" i="3"/>
  <c r="AD36" i="3"/>
  <c r="AD40" i="3"/>
  <c r="AB36" i="3"/>
  <c r="AB40" i="3"/>
  <c r="Z23" i="3"/>
  <c r="Z24" i="3"/>
  <c r="Z17" i="3"/>
  <c r="Z18" i="3"/>
  <c r="Z19" i="3"/>
  <c r="Z20" i="3"/>
  <c r="Z21" i="3"/>
  <c r="Z10" i="3"/>
  <c r="Z11" i="3"/>
  <c r="Z12" i="3"/>
  <c r="Z13" i="3"/>
  <c r="Z14" i="3"/>
  <c r="Z15" i="3"/>
  <c r="Z5" i="3"/>
  <c r="Z6" i="3"/>
  <c r="Z7" i="3"/>
  <c r="Z8" i="3"/>
  <c r="X22" i="3"/>
  <c r="X9" i="3"/>
  <c r="X16" i="3"/>
  <c r="X31" i="3"/>
  <c r="X36" i="3"/>
  <c r="V22" i="3"/>
  <c r="V16" i="3"/>
  <c r="V9" i="3"/>
  <c r="V31" i="3"/>
  <c r="T22" i="3"/>
  <c r="T16" i="3"/>
  <c r="T9" i="3"/>
  <c r="R22" i="3"/>
  <c r="R16" i="3"/>
  <c r="R9" i="3"/>
  <c r="R31" i="3"/>
  <c r="P22" i="3"/>
  <c r="P9" i="3"/>
  <c r="P16" i="3"/>
  <c r="P31" i="3"/>
  <c r="N22" i="3"/>
  <c r="N16" i="3"/>
  <c r="N9" i="3"/>
  <c r="N31" i="3"/>
  <c r="N36" i="3"/>
  <c r="F8" i="42"/>
  <c r="B44" i="3"/>
  <c r="J36" i="3"/>
  <c r="J40" i="3"/>
  <c r="H36" i="3"/>
  <c r="H40" i="3"/>
  <c r="F36" i="3"/>
  <c r="F40" i="3"/>
  <c r="D36" i="3"/>
  <c r="D41" i="3" s="1"/>
  <c r="M32" i="54"/>
  <c r="X38" i="54"/>
  <c r="AF38" i="54"/>
  <c r="X37" i="54"/>
  <c r="AF37" i="54"/>
  <c r="X33" i="54"/>
  <c r="AF33" i="54"/>
  <c r="AH33" i="54" s="1"/>
  <c r="X34" i="54"/>
  <c r="AF34" i="54"/>
  <c r="X35" i="54"/>
  <c r="AF35" i="54"/>
  <c r="X32" i="54"/>
  <c r="AF32" i="54"/>
  <c r="L31" i="54"/>
  <c r="N31" i="54"/>
  <c r="P31" i="54"/>
  <c r="R31" i="54"/>
  <c r="T31" i="54"/>
  <c r="U31" i="54" s="1"/>
  <c r="V31" i="54"/>
  <c r="X29" i="54"/>
  <c r="AH29" i="54" s="1"/>
  <c r="N28" i="54"/>
  <c r="P28" i="54"/>
  <c r="R28" i="54"/>
  <c r="T28" i="54"/>
  <c r="V28" i="54"/>
  <c r="X27" i="54"/>
  <c r="AH27" i="54" s="1"/>
  <c r="J18" i="54"/>
  <c r="AH18" i="54" s="1"/>
  <c r="J19" i="54"/>
  <c r="AH19" i="54" s="1"/>
  <c r="J20" i="54"/>
  <c r="J21" i="54"/>
  <c r="AH21" i="54" s="1"/>
  <c r="J17" i="54"/>
  <c r="AH17" i="54" s="1"/>
  <c r="J11" i="54"/>
  <c r="J12" i="54"/>
  <c r="AH12" i="54" s="1"/>
  <c r="J13" i="54"/>
  <c r="AH13" i="54" s="1"/>
  <c r="J14" i="54"/>
  <c r="AH14" i="54" s="1"/>
  <c r="J15" i="54"/>
  <c r="AH15" i="54" s="1"/>
  <c r="J6" i="54"/>
  <c r="AH6" i="54" s="1"/>
  <c r="J7" i="54"/>
  <c r="AH7" i="54" s="1"/>
  <c r="J8" i="54"/>
  <c r="AH8" i="54" s="1"/>
  <c r="AH8" i="3"/>
  <c r="J5" i="54"/>
  <c r="AH5" i="54" s="1"/>
  <c r="N31" i="4"/>
  <c r="P31" i="4"/>
  <c r="R31" i="4"/>
  <c r="T31" i="4"/>
  <c r="V31" i="4"/>
  <c r="V31" i="6" s="1"/>
  <c r="W31" i="6" s="1"/>
  <c r="X31" i="4"/>
  <c r="Y31" i="4" s="1"/>
  <c r="N38" i="6"/>
  <c r="O38" i="6" s="1"/>
  <c r="P38" i="6"/>
  <c r="Q38" i="6" s="1"/>
  <c r="R38" i="6"/>
  <c r="S38" i="6" s="1"/>
  <c r="V38" i="6"/>
  <c r="W38" i="6" s="1"/>
  <c r="X38" i="6"/>
  <c r="Y38" i="6" s="1"/>
  <c r="AB38" i="6"/>
  <c r="AD38" i="6"/>
  <c r="AE38" i="6" s="1"/>
  <c r="AF38" i="6"/>
  <c r="AG38" i="6" s="1"/>
  <c r="N39" i="6"/>
  <c r="O39" i="6" s="1"/>
  <c r="P39" i="6"/>
  <c r="Q39" i="6" s="1"/>
  <c r="R39" i="6"/>
  <c r="S39" i="6" s="1"/>
  <c r="V39" i="6"/>
  <c r="X39" i="6"/>
  <c r="Y39" i="6" s="1"/>
  <c r="AB39" i="6"/>
  <c r="AD39" i="6"/>
  <c r="AE39" i="6" s="1"/>
  <c r="N33" i="6"/>
  <c r="O33" i="6" s="1"/>
  <c r="P33" i="6"/>
  <c r="Q33" i="6" s="1"/>
  <c r="R33" i="6"/>
  <c r="S33" i="6" s="1"/>
  <c r="T33" i="6"/>
  <c r="V33" i="6"/>
  <c r="W33" i="6" s="1"/>
  <c r="AB33" i="6"/>
  <c r="AC33" i="6" s="1"/>
  <c r="AD33" i="6"/>
  <c r="AF33" i="6"/>
  <c r="AG33" i="6" s="1"/>
  <c r="N34" i="6"/>
  <c r="O34" i="6" s="1"/>
  <c r="P34" i="6"/>
  <c r="Q34" i="6" s="1"/>
  <c r="R34" i="6"/>
  <c r="S34" i="6" s="1"/>
  <c r="T34" i="6"/>
  <c r="U34" i="6" s="1"/>
  <c r="V34" i="6"/>
  <c r="W34" i="6" s="1"/>
  <c r="AB34" i="6"/>
  <c r="AC34" i="6" s="1"/>
  <c r="AD34" i="6"/>
  <c r="AE34" i="6" s="1"/>
  <c r="AF34" i="6"/>
  <c r="AG34" i="6" s="1"/>
  <c r="N35" i="6"/>
  <c r="O35" i="6" s="1"/>
  <c r="P35" i="6"/>
  <c r="Q35" i="6" s="1"/>
  <c r="R35" i="6"/>
  <c r="S35" i="6" s="1"/>
  <c r="T35" i="6"/>
  <c r="V35" i="6"/>
  <c r="W35" i="6" s="1"/>
  <c r="AB35" i="6"/>
  <c r="AC35" i="6" s="1"/>
  <c r="AD35" i="6"/>
  <c r="AE35" i="6" s="1"/>
  <c r="AF35" i="6"/>
  <c r="AG35" i="6" s="1"/>
  <c r="N28" i="4"/>
  <c r="P28" i="4"/>
  <c r="R28" i="4"/>
  <c r="T28" i="4"/>
  <c r="V28" i="4"/>
  <c r="X28" i="4"/>
  <c r="D18" i="6"/>
  <c r="E18" i="6" s="1"/>
  <c r="F18" i="6"/>
  <c r="G18" i="6" s="1"/>
  <c r="H18" i="6"/>
  <c r="I18" i="6" s="1"/>
  <c r="J18" i="6"/>
  <c r="D20" i="6"/>
  <c r="E20" i="6" s="1"/>
  <c r="F20" i="6"/>
  <c r="G20" i="6" s="1"/>
  <c r="H20" i="6"/>
  <c r="I20" i="6" s="1"/>
  <c r="J20" i="6"/>
  <c r="K20" i="6" s="1"/>
  <c r="D21" i="6"/>
  <c r="E21" i="6" s="1"/>
  <c r="F21" i="6"/>
  <c r="G21" i="6" s="1"/>
  <c r="H21" i="6"/>
  <c r="I21" i="6" s="1"/>
  <c r="J21" i="6"/>
  <c r="N37" i="6"/>
  <c r="O37" i="6" s="1"/>
  <c r="P37" i="6"/>
  <c r="Q37" i="6" s="1"/>
  <c r="R37" i="6"/>
  <c r="S37" i="6" s="1"/>
  <c r="V37" i="6"/>
  <c r="W37" i="6" s="1"/>
  <c r="X37" i="6"/>
  <c r="Y37" i="6" s="1"/>
  <c r="AB37" i="6"/>
  <c r="AD37" i="6"/>
  <c r="AE37" i="6" s="1"/>
  <c r="AF37" i="6"/>
  <c r="AG37" i="6" s="1"/>
  <c r="N32" i="6"/>
  <c r="P32" i="6"/>
  <c r="Q32" i="6" s="1"/>
  <c r="R32" i="6"/>
  <c r="S32" i="6" s="1"/>
  <c r="V32" i="6"/>
  <c r="W32" i="6" s="1"/>
  <c r="AB32" i="6"/>
  <c r="AC32" i="6" s="1"/>
  <c r="AD32" i="6"/>
  <c r="AE32" i="6" s="1"/>
  <c r="AF32" i="6"/>
  <c r="AG32" i="6" s="1"/>
  <c r="N29" i="6"/>
  <c r="O29" i="6" s="1"/>
  <c r="P29" i="6"/>
  <c r="Q29" i="6" s="1"/>
  <c r="R29" i="6"/>
  <c r="S29" i="6" s="1"/>
  <c r="T29" i="6"/>
  <c r="V29" i="6"/>
  <c r="W29" i="6" s="1"/>
  <c r="X29" i="6"/>
  <c r="Y29" i="6" s="1"/>
  <c r="N27" i="6"/>
  <c r="O27" i="6" s="1"/>
  <c r="P27" i="6"/>
  <c r="Q27" i="6" s="1"/>
  <c r="R27" i="6"/>
  <c r="S27" i="6" s="1"/>
  <c r="T27" i="6"/>
  <c r="U27" i="6" s="1"/>
  <c r="V27" i="6"/>
  <c r="W27" i="6" s="1"/>
  <c r="X27" i="6"/>
  <c r="Y27" i="6" s="1"/>
  <c r="D17" i="6"/>
  <c r="E17" i="6" s="1"/>
  <c r="F17" i="6"/>
  <c r="G17" i="6" s="1"/>
  <c r="H17" i="6"/>
  <c r="I17" i="6" s="1"/>
  <c r="J17" i="6"/>
  <c r="D14" i="6"/>
  <c r="E14" i="6" s="1"/>
  <c r="F14" i="6"/>
  <c r="G14" i="6" s="1"/>
  <c r="H14" i="6"/>
  <c r="I14" i="6" s="1"/>
  <c r="J14" i="6"/>
  <c r="K14" i="6" s="1"/>
  <c r="D15" i="6"/>
  <c r="E15" i="6" s="1"/>
  <c r="F15" i="6"/>
  <c r="G15" i="6" s="1"/>
  <c r="H15" i="6"/>
  <c r="J15" i="6"/>
  <c r="K15" i="6" s="1"/>
  <c r="D13" i="6"/>
  <c r="E13" i="6" s="1"/>
  <c r="H13" i="6"/>
  <c r="I13" i="6" s="1"/>
  <c r="J13" i="6"/>
  <c r="D12" i="6"/>
  <c r="E12" i="6" s="1"/>
  <c r="F12" i="6"/>
  <c r="H12" i="6"/>
  <c r="I12" i="6" s="1"/>
  <c r="J12" i="6"/>
  <c r="K12" i="6" s="1"/>
  <c r="D11" i="6"/>
  <c r="F11" i="6"/>
  <c r="H11" i="6"/>
  <c r="I11" i="6" s="1"/>
  <c r="J11" i="6"/>
  <c r="K11" i="6" s="1"/>
  <c r="H6" i="6"/>
  <c r="I6" i="6" s="1"/>
  <c r="D5" i="6"/>
  <c r="E5" i="6" s="1"/>
  <c r="F5" i="6"/>
  <c r="G5" i="6" s="1"/>
  <c r="H5" i="6"/>
  <c r="I5" i="6" s="1"/>
  <c r="J5" i="6"/>
  <c r="Z38" i="5"/>
  <c r="AH38" i="5"/>
  <c r="Z39" i="5"/>
  <c r="AH39" i="5"/>
  <c r="Z37" i="5"/>
  <c r="AH37" i="5"/>
  <c r="Z33" i="5"/>
  <c r="AH33" i="5"/>
  <c r="Z34" i="5"/>
  <c r="AH34" i="5"/>
  <c r="Z35" i="5"/>
  <c r="AH35" i="5"/>
  <c r="Z32" i="5"/>
  <c r="AH32" i="5"/>
  <c r="N31" i="5"/>
  <c r="P31" i="5"/>
  <c r="R31" i="5"/>
  <c r="T31" i="5"/>
  <c r="V31" i="5"/>
  <c r="X31" i="5"/>
  <c r="Z29" i="5"/>
  <c r="N28" i="5"/>
  <c r="P28" i="5"/>
  <c r="R28" i="5"/>
  <c r="T28" i="5"/>
  <c r="V28" i="5"/>
  <c r="X28" i="5"/>
  <c r="Z27" i="5"/>
  <c r="AJ27" i="5" s="1"/>
  <c r="L18" i="5"/>
  <c r="AJ18" i="5" s="1"/>
  <c r="L19" i="5"/>
  <c r="AJ19" i="5" s="1"/>
  <c r="L20" i="5"/>
  <c r="AJ20" i="5" s="1"/>
  <c r="L21" i="5"/>
  <c r="AJ21" i="5" s="1"/>
  <c r="L17" i="5"/>
  <c r="AJ17" i="5" s="1"/>
  <c r="L11" i="5"/>
  <c r="AJ11" i="5" s="1"/>
  <c r="L12" i="5"/>
  <c r="AJ12" i="5" s="1"/>
  <c r="L13" i="5"/>
  <c r="AJ13" i="5" s="1"/>
  <c r="L14" i="5"/>
  <c r="L15" i="5"/>
  <c r="AJ15" i="5" s="1"/>
  <c r="L6" i="5"/>
  <c r="AJ6" i="5" s="1"/>
  <c r="L7" i="5"/>
  <c r="AJ7" i="5" s="1"/>
  <c r="L8" i="5"/>
  <c r="L5" i="5"/>
  <c r="AJ5" i="5" s="1"/>
  <c r="Z38" i="4"/>
  <c r="AH38" i="4"/>
  <c r="AI38" i="4" s="1"/>
  <c r="AH39" i="4"/>
  <c r="Z39" i="4"/>
  <c r="Z37" i="4"/>
  <c r="AH37" i="4"/>
  <c r="AH34" i="4"/>
  <c r="Z34" i="4"/>
  <c r="AH35" i="4"/>
  <c r="Z35" i="4"/>
  <c r="Z33" i="4"/>
  <c r="AH33" i="4"/>
  <c r="Z32" i="4"/>
  <c r="AH32" i="4"/>
  <c r="Z29" i="4"/>
  <c r="AJ29" i="4" s="1"/>
  <c r="Z27" i="4"/>
  <c r="AJ27" i="4" s="1"/>
  <c r="L6" i="4"/>
  <c r="AJ6" i="4" s="1"/>
  <c r="L7" i="4"/>
  <c r="AJ7" i="4" s="1"/>
  <c r="L8" i="4"/>
  <c r="AJ8" i="4" s="1"/>
  <c r="L5" i="4"/>
  <c r="AJ5" i="4" s="1"/>
  <c r="L11" i="4"/>
  <c r="AJ11" i="4" s="1"/>
  <c r="L12" i="4"/>
  <c r="AJ12" i="4" s="1"/>
  <c r="L13" i="4"/>
  <c r="AJ13" i="4" s="1"/>
  <c r="L14" i="4"/>
  <c r="AJ14" i="4" s="1"/>
  <c r="L15" i="4"/>
  <c r="AJ15" i="4" s="1"/>
  <c r="L17" i="4"/>
  <c r="AJ17" i="4" s="1"/>
  <c r="L18" i="4"/>
  <c r="AJ18" i="4" s="1"/>
  <c r="L19" i="4"/>
  <c r="AJ19" i="4" s="1"/>
  <c r="L20" i="4"/>
  <c r="AJ20" i="4" s="1"/>
  <c r="L21" i="4"/>
  <c r="AJ21" i="4" s="1"/>
  <c r="M15" i="3"/>
  <c r="M11" i="3"/>
  <c r="M12" i="3"/>
  <c r="M13" i="3"/>
  <c r="AK13" i="3" s="1"/>
  <c r="M14" i="3"/>
  <c r="M19" i="3"/>
  <c r="M17" i="3"/>
  <c r="M18" i="3"/>
  <c r="M20" i="3"/>
  <c r="M21" i="3"/>
  <c r="M5" i="3"/>
  <c r="M6" i="3"/>
  <c r="M7" i="3"/>
  <c r="M8" i="3"/>
  <c r="C44" i="3"/>
  <c r="C45" i="3" s="1"/>
  <c r="AI32" i="59"/>
  <c r="M32" i="3"/>
  <c r="AA32" i="3"/>
  <c r="AI33" i="59"/>
  <c r="M33" i="3"/>
  <c r="AA33" i="3"/>
  <c r="AA35" i="3"/>
  <c r="AK35" i="3" s="1"/>
  <c r="M35" i="3"/>
  <c r="AI34" i="57"/>
  <c r="AA34" i="3"/>
  <c r="M34" i="3"/>
  <c r="AI37" i="57"/>
  <c r="M37" i="3"/>
  <c r="AA37" i="3"/>
  <c r="AA38" i="3"/>
  <c r="AI38" i="58"/>
  <c r="M38" i="3"/>
  <c r="AA39" i="3"/>
  <c r="M27" i="3"/>
  <c r="AA27" i="3"/>
  <c r="AA29" i="3"/>
  <c r="AK29" i="3" s="1"/>
  <c r="AK31" i="3" s="1"/>
  <c r="AI23" i="3"/>
  <c r="AI24" i="3"/>
  <c r="AI25" i="3"/>
  <c r="AI26" i="3" s="1"/>
  <c r="AC45" i="3"/>
  <c r="AA23" i="3"/>
  <c r="AA24" i="3"/>
  <c r="AA25" i="3" s="1"/>
  <c r="AA26" i="3" s="1"/>
  <c r="AA17" i="3"/>
  <c r="AA18" i="3"/>
  <c r="AA19" i="3"/>
  <c r="AA20" i="3"/>
  <c r="AA21" i="3"/>
  <c r="AA10" i="3"/>
  <c r="AA11" i="3"/>
  <c r="AA12" i="3"/>
  <c r="AA13" i="3"/>
  <c r="AA14" i="3"/>
  <c r="AA15" i="3"/>
  <c r="AA5" i="3"/>
  <c r="AA6" i="3"/>
  <c r="AA7" i="3"/>
  <c r="AA8" i="3"/>
  <c r="Y22" i="3"/>
  <c r="Y26" i="3" s="1"/>
  <c r="Y28" i="3" s="1"/>
  <c r="Y16" i="3"/>
  <c r="Y9" i="3"/>
  <c r="Y31" i="3"/>
  <c r="Y36" i="3"/>
  <c r="W22" i="3"/>
  <c r="W9" i="3"/>
  <c r="W26" i="3" s="1"/>
  <c r="W28" i="3" s="1"/>
  <c r="W16" i="3"/>
  <c r="W31" i="3"/>
  <c r="U22" i="3"/>
  <c r="U9" i="3"/>
  <c r="U16" i="3"/>
  <c r="U31" i="3"/>
  <c r="S22" i="3"/>
  <c r="S16" i="3"/>
  <c r="S9" i="3"/>
  <c r="S31" i="3"/>
  <c r="Q22" i="3"/>
  <c r="Q16" i="3"/>
  <c r="Q9" i="3"/>
  <c r="Q31" i="3"/>
  <c r="O22" i="3"/>
  <c r="O9" i="3"/>
  <c r="O16" i="3"/>
  <c r="O26" i="3" s="1"/>
  <c r="O31" i="3"/>
  <c r="K36" i="3"/>
  <c r="K40" i="3"/>
  <c r="I36" i="3"/>
  <c r="I40" i="3"/>
  <c r="G36" i="3"/>
  <c r="G40" i="3"/>
  <c r="E36" i="3"/>
  <c r="E40" i="3"/>
  <c r="B45" i="3"/>
  <c r="AB26" i="3"/>
  <c r="AH5" i="3"/>
  <c r="AH7" i="3"/>
  <c r="AH6" i="3"/>
  <c r="AH10" i="3"/>
  <c r="AH11" i="3"/>
  <c r="AH12" i="3"/>
  <c r="AH13" i="3"/>
  <c r="AH14" i="3"/>
  <c r="AH15" i="3"/>
  <c r="AH17" i="3"/>
  <c r="AH19" i="3"/>
  <c r="AH20" i="3"/>
  <c r="AH21" i="3"/>
  <c r="AH18" i="3"/>
  <c r="AH23" i="3"/>
  <c r="AH24" i="3"/>
  <c r="AD36" i="54"/>
  <c r="AD40" i="54"/>
  <c r="AB36" i="54"/>
  <c r="AB40" i="54"/>
  <c r="AC40" i="54" s="1"/>
  <c r="Z36" i="54"/>
  <c r="Z40" i="54"/>
  <c r="V40" i="54"/>
  <c r="T36" i="54"/>
  <c r="T40" i="54"/>
  <c r="R36" i="54"/>
  <c r="R40" i="54"/>
  <c r="P36" i="54"/>
  <c r="P40" i="54"/>
  <c r="N36" i="54"/>
  <c r="N40" i="54"/>
  <c r="L36" i="54"/>
  <c r="L40" i="54"/>
  <c r="H22" i="54"/>
  <c r="H16" i="54"/>
  <c r="H9" i="54"/>
  <c r="F22" i="54"/>
  <c r="F16" i="54"/>
  <c r="F9" i="54"/>
  <c r="D22" i="54"/>
  <c r="D16" i="54"/>
  <c r="D9" i="54"/>
  <c r="B25" i="54"/>
  <c r="B22" i="54"/>
  <c r="AE39" i="54"/>
  <c r="AC39" i="54"/>
  <c r="W39" i="54"/>
  <c r="U39" i="54"/>
  <c r="S39" i="54"/>
  <c r="Q39" i="54"/>
  <c r="O39" i="54"/>
  <c r="AE38" i="54"/>
  <c r="AC38" i="54"/>
  <c r="AA38" i="54"/>
  <c r="W38" i="54"/>
  <c r="U38" i="54"/>
  <c r="S38" i="54"/>
  <c r="Q38" i="54"/>
  <c r="O38" i="54"/>
  <c r="M38" i="54"/>
  <c r="AE37" i="54"/>
  <c r="AC37" i="54"/>
  <c r="AA37" i="54"/>
  <c r="W37" i="54"/>
  <c r="U37" i="54"/>
  <c r="S37" i="54"/>
  <c r="Q37" i="54"/>
  <c r="O37" i="54"/>
  <c r="M37" i="54"/>
  <c r="AE35" i="54"/>
  <c r="AC35" i="54"/>
  <c r="S35" i="54"/>
  <c r="Q35" i="54"/>
  <c r="O35" i="54"/>
  <c r="M35" i="54"/>
  <c r="AE34" i="54"/>
  <c r="AC34" i="54"/>
  <c r="AA34" i="54"/>
  <c r="U34" i="54"/>
  <c r="S34" i="54"/>
  <c r="Q34" i="54"/>
  <c r="O34" i="54"/>
  <c r="M34" i="54"/>
  <c r="AE33" i="54"/>
  <c r="AC33" i="54"/>
  <c r="AA33" i="54"/>
  <c r="U33" i="54"/>
  <c r="S33" i="54"/>
  <c r="Q33" i="54"/>
  <c r="O33" i="54"/>
  <c r="M33" i="54"/>
  <c r="AE32" i="54"/>
  <c r="AC32" i="54"/>
  <c r="AA32" i="54"/>
  <c r="U32" i="54"/>
  <c r="S32" i="54"/>
  <c r="Q32" i="54"/>
  <c r="O32" i="54"/>
  <c r="W29" i="54"/>
  <c r="U29" i="54"/>
  <c r="S29" i="54"/>
  <c r="Q29" i="54"/>
  <c r="O29" i="54"/>
  <c r="M29" i="54"/>
  <c r="U27" i="54"/>
  <c r="S27" i="54"/>
  <c r="Q27" i="54"/>
  <c r="O27" i="54"/>
  <c r="M27" i="54"/>
  <c r="C24" i="54"/>
  <c r="C23" i="54"/>
  <c r="I21" i="54"/>
  <c r="G21" i="54"/>
  <c r="E21" i="54"/>
  <c r="C21" i="54"/>
  <c r="I20" i="54"/>
  <c r="G20" i="54"/>
  <c r="E20" i="54"/>
  <c r="C20" i="54"/>
  <c r="I18" i="54"/>
  <c r="G18" i="54"/>
  <c r="E18" i="54"/>
  <c r="I17" i="54"/>
  <c r="G17" i="54"/>
  <c r="E17" i="54"/>
  <c r="C17" i="54"/>
  <c r="I15" i="54"/>
  <c r="G15" i="54"/>
  <c r="E15" i="54"/>
  <c r="I14" i="54"/>
  <c r="G14" i="54"/>
  <c r="E14" i="54"/>
  <c r="C14" i="54"/>
  <c r="I13" i="54"/>
  <c r="G13" i="54"/>
  <c r="E13" i="54"/>
  <c r="C13" i="54"/>
  <c r="I12" i="54"/>
  <c r="G12" i="54"/>
  <c r="E12" i="54"/>
  <c r="C12" i="54"/>
  <c r="I11" i="54"/>
  <c r="G11" i="54"/>
  <c r="E11" i="54"/>
  <c r="C11" i="54"/>
  <c r="I7" i="54"/>
  <c r="G7" i="54"/>
  <c r="E7" i="54"/>
  <c r="C7" i="54"/>
  <c r="I6" i="54"/>
  <c r="G6" i="54"/>
  <c r="E6" i="54"/>
  <c r="I5" i="54"/>
  <c r="G5" i="54"/>
  <c r="E5" i="54"/>
  <c r="C5" i="54"/>
  <c r="AI5" i="3"/>
  <c r="AI6" i="3"/>
  <c r="AI7" i="3"/>
  <c r="AI8" i="3"/>
  <c r="AI10" i="3"/>
  <c r="AI11" i="3"/>
  <c r="AI12" i="3"/>
  <c r="AI13" i="3"/>
  <c r="AI14" i="3"/>
  <c r="AI15" i="3"/>
  <c r="AI17" i="3"/>
  <c r="AI19" i="3"/>
  <c r="AI20" i="3"/>
  <c r="AI21" i="3"/>
  <c r="AI18" i="3"/>
  <c r="C25" i="53"/>
  <c r="D25" i="53"/>
  <c r="E25" i="53"/>
  <c r="F24" i="32"/>
  <c r="H24" i="32" s="1"/>
  <c r="M24" i="32" s="1"/>
  <c r="O24" i="32" s="1"/>
  <c r="F25" i="33"/>
  <c r="F25" i="34"/>
  <c r="H25" i="34" s="1"/>
  <c r="M25" i="34" s="1"/>
  <c r="O25" i="34" s="1"/>
  <c r="G25" i="53"/>
  <c r="I25" i="53"/>
  <c r="J25" i="53"/>
  <c r="K25" i="53"/>
  <c r="L25" i="53"/>
  <c r="N25" i="53"/>
  <c r="C24" i="53"/>
  <c r="D24" i="53"/>
  <c r="E24" i="53"/>
  <c r="G24" i="53"/>
  <c r="I24" i="53"/>
  <c r="J24" i="53"/>
  <c r="K24" i="53"/>
  <c r="L24" i="53"/>
  <c r="N24" i="53"/>
  <c r="C22" i="53"/>
  <c r="D22" i="53"/>
  <c r="E22" i="53"/>
  <c r="G22" i="53"/>
  <c r="I22" i="53"/>
  <c r="J22" i="53"/>
  <c r="K22" i="53"/>
  <c r="L22" i="53"/>
  <c r="N22" i="53"/>
  <c r="F21" i="33"/>
  <c r="C21" i="53"/>
  <c r="D21" i="53"/>
  <c r="E21" i="53"/>
  <c r="G21" i="53"/>
  <c r="I21" i="53"/>
  <c r="J21" i="53"/>
  <c r="K21" i="53"/>
  <c r="L21" i="53"/>
  <c r="N21" i="53"/>
  <c r="C20" i="53"/>
  <c r="D20" i="53"/>
  <c r="E20" i="53"/>
  <c r="G20" i="53"/>
  <c r="I20" i="53"/>
  <c r="J20" i="53"/>
  <c r="K20" i="53"/>
  <c r="L20" i="53"/>
  <c r="N20" i="53"/>
  <c r="C19" i="53"/>
  <c r="D19" i="53"/>
  <c r="E19" i="53"/>
  <c r="G19" i="53"/>
  <c r="I19" i="53"/>
  <c r="J19" i="53"/>
  <c r="K19" i="53"/>
  <c r="L19" i="53"/>
  <c r="N19" i="53"/>
  <c r="C18" i="53"/>
  <c r="D18" i="53"/>
  <c r="E18" i="53"/>
  <c r="G18" i="53"/>
  <c r="I18" i="53"/>
  <c r="J18" i="53"/>
  <c r="K18" i="53"/>
  <c r="L18" i="53"/>
  <c r="N18" i="53"/>
  <c r="C16" i="53"/>
  <c r="D16" i="53"/>
  <c r="E16" i="53"/>
  <c r="F15" i="32"/>
  <c r="H15" i="32" s="1"/>
  <c r="M15" i="32" s="1"/>
  <c r="O15" i="32" s="1"/>
  <c r="F16" i="34"/>
  <c r="H16" i="34" s="1"/>
  <c r="M16" i="34" s="1"/>
  <c r="O16" i="34" s="1"/>
  <c r="G16" i="53"/>
  <c r="H16" i="31"/>
  <c r="M16" i="31" s="1"/>
  <c r="I16" i="53"/>
  <c r="J16" i="53"/>
  <c r="K16" i="53"/>
  <c r="L16" i="53"/>
  <c r="N16" i="53"/>
  <c r="C15" i="53"/>
  <c r="D15" i="53"/>
  <c r="E15" i="53"/>
  <c r="G15" i="53"/>
  <c r="I15" i="53"/>
  <c r="J15" i="53"/>
  <c r="K15" i="53"/>
  <c r="L15" i="53"/>
  <c r="N15" i="53"/>
  <c r="C14" i="53"/>
  <c r="D14" i="53"/>
  <c r="E14" i="53"/>
  <c r="F14" i="34"/>
  <c r="H14" i="34" s="1"/>
  <c r="M14" i="34" s="1"/>
  <c r="O14" i="34" s="1"/>
  <c r="G14" i="53"/>
  <c r="I14" i="53"/>
  <c r="J14" i="53"/>
  <c r="K14" i="53"/>
  <c r="L14" i="53"/>
  <c r="N14" i="53"/>
  <c r="C13" i="53"/>
  <c r="D13" i="53"/>
  <c r="E13" i="53"/>
  <c r="G13" i="53"/>
  <c r="I13" i="53"/>
  <c r="J13" i="53"/>
  <c r="K13" i="53"/>
  <c r="L13" i="53"/>
  <c r="N13" i="53"/>
  <c r="C12" i="53"/>
  <c r="D12" i="53"/>
  <c r="E12" i="53"/>
  <c r="G12" i="53"/>
  <c r="I12" i="53"/>
  <c r="J12" i="53"/>
  <c r="K12" i="53"/>
  <c r="L12" i="53"/>
  <c r="N12" i="53"/>
  <c r="C9" i="53"/>
  <c r="D9" i="53"/>
  <c r="E9" i="53"/>
  <c r="G9" i="53"/>
  <c r="I9" i="53"/>
  <c r="J9" i="53"/>
  <c r="K9" i="53"/>
  <c r="L9" i="53"/>
  <c r="N9" i="53"/>
  <c r="C8" i="53"/>
  <c r="D8" i="53"/>
  <c r="E8" i="53"/>
  <c r="F8" i="31"/>
  <c r="F8" i="33"/>
  <c r="H8" i="33" s="1"/>
  <c r="M8" i="33" s="1"/>
  <c r="O8" i="33" s="1"/>
  <c r="H8" i="34"/>
  <c r="M8" i="34" s="1"/>
  <c r="O8" i="34" s="1"/>
  <c r="G8" i="53"/>
  <c r="I8" i="53"/>
  <c r="J8" i="53"/>
  <c r="K8" i="53"/>
  <c r="L8" i="53"/>
  <c r="N8" i="53"/>
  <c r="C7" i="53"/>
  <c r="D7" i="53"/>
  <c r="E7" i="53"/>
  <c r="H7" i="32"/>
  <c r="M7" i="32" s="1"/>
  <c r="O7" i="32" s="1"/>
  <c r="F7" i="31"/>
  <c r="H7" i="31" s="1"/>
  <c r="M7" i="31" s="1"/>
  <c r="O7" i="31" s="1"/>
  <c r="F7" i="33"/>
  <c r="H7" i="33" s="1"/>
  <c r="M7" i="33" s="1"/>
  <c r="O7" i="33" s="1"/>
  <c r="H7" i="34"/>
  <c r="G7" i="53"/>
  <c r="I7" i="53"/>
  <c r="J7" i="53"/>
  <c r="K7" i="53"/>
  <c r="L7" i="53"/>
  <c r="N7" i="53"/>
  <c r="F6" i="31"/>
  <c r="H6" i="31" s="1"/>
  <c r="F6" i="32"/>
  <c r="H6" i="32" s="1"/>
  <c r="M6" i="32" s="1"/>
  <c r="O6" i="32" s="1"/>
  <c r="F6" i="33"/>
  <c r="H6" i="33" s="1"/>
  <c r="M6" i="33" s="1"/>
  <c r="O6" i="33" s="1"/>
  <c r="G6" i="53"/>
  <c r="J6" i="53"/>
  <c r="K6" i="53"/>
  <c r="L6" i="53"/>
  <c r="N6" i="53"/>
  <c r="B12" i="53"/>
  <c r="B13" i="53"/>
  <c r="B14" i="53"/>
  <c r="B15" i="53"/>
  <c r="B16" i="53"/>
  <c r="B18" i="53"/>
  <c r="B19" i="53"/>
  <c r="B20" i="53"/>
  <c r="B21" i="53"/>
  <c r="B22" i="53"/>
  <c r="B24" i="53"/>
  <c r="B25" i="53"/>
  <c r="B7" i="53"/>
  <c r="B8" i="53"/>
  <c r="B9" i="53"/>
  <c r="C6" i="53"/>
  <c r="D6" i="53"/>
  <c r="E6" i="53"/>
  <c r="B6" i="53"/>
  <c r="C10" i="35"/>
  <c r="C15" i="35"/>
  <c r="C19" i="35"/>
  <c r="C10" i="36"/>
  <c r="C15" i="36"/>
  <c r="C19" i="36"/>
  <c r="C10" i="37"/>
  <c r="C15" i="37"/>
  <c r="C19" i="37"/>
  <c r="C10" i="38"/>
  <c r="C15" i="38"/>
  <c r="C19" i="38"/>
  <c r="C10" i="39"/>
  <c r="C15" i="39"/>
  <c r="C19" i="39"/>
  <c r="C10" i="40"/>
  <c r="C15" i="40"/>
  <c r="C19" i="40"/>
  <c r="C15" i="42"/>
  <c r="C19" i="42"/>
  <c r="C7" i="42"/>
  <c r="C10" i="42"/>
  <c r="C15" i="43"/>
  <c r="C19" i="43"/>
  <c r="C7" i="43"/>
  <c r="C10" i="43"/>
  <c r="C15" i="44"/>
  <c r="C19" i="44"/>
  <c r="C7" i="44"/>
  <c r="C10" i="44"/>
  <c r="C10" i="45" s="1"/>
  <c r="D10" i="35"/>
  <c r="D15" i="35"/>
  <c r="D19" i="35"/>
  <c r="D10" i="36"/>
  <c r="D15" i="36"/>
  <c r="D19" i="36"/>
  <c r="D10" i="37"/>
  <c r="D15" i="37"/>
  <c r="D19" i="37"/>
  <c r="D10" i="38"/>
  <c r="D15" i="38"/>
  <c r="D19" i="38"/>
  <c r="D10" i="39"/>
  <c r="D15" i="39"/>
  <c r="D19" i="39"/>
  <c r="D10" i="40"/>
  <c r="D15" i="40"/>
  <c r="D19" i="40"/>
  <c r="D15" i="42"/>
  <c r="D19" i="42"/>
  <c r="D7" i="42"/>
  <c r="D10" i="42"/>
  <c r="D15" i="43"/>
  <c r="D19" i="43"/>
  <c r="D7" i="43"/>
  <c r="D10" i="43"/>
  <c r="D15" i="44"/>
  <c r="D19" i="44"/>
  <c r="D7" i="44"/>
  <c r="D10" i="44"/>
  <c r="E10" i="35"/>
  <c r="E15" i="35"/>
  <c r="E19" i="35"/>
  <c r="E15" i="36"/>
  <c r="E19" i="36"/>
  <c r="E10" i="37"/>
  <c r="E15" i="37"/>
  <c r="E19" i="37"/>
  <c r="E10" i="38"/>
  <c r="E15" i="38"/>
  <c r="E19" i="38"/>
  <c r="E10" i="39"/>
  <c r="E15" i="39"/>
  <c r="E19" i="39"/>
  <c r="E10" i="40"/>
  <c r="E15" i="40"/>
  <c r="E19" i="40"/>
  <c r="E15" i="42"/>
  <c r="E19" i="42"/>
  <c r="E7" i="42"/>
  <c r="E10" i="42"/>
  <c r="E15" i="43"/>
  <c r="E19" i="43"/>
  <c r="E7" i="43"/>
  <c r="E10" i="43"/>
  <c r="E15" i="44"/>
  <c r="E19" i="44"/>
  <c r="E7" i="44"/>
  <c r="E10" i="44"/>
  <c r="F19" i="35"/>
  <c r="F10" i="40"/>
  <c r="F10" i="42"/>
  <c r="F7" i="43"/>
  <c r="F10" i="43"/>
  <c r="G15" i="43"/>
  <c r="G19" i="43"/>
  <c r="F7" i="44"/>
  <c r="F10" i="44"/>
  <c r="G10" i="35"/>
  <c r="G15" i="35"/>
  <c r="G19" i="35"/>
  <c r="G10" i="36"/>
  <c r="G15" i="36"/>
  <c r="G19" i="36"/>
  <c r="G10" i="37"/>
  <c r="G15" i="37"/>
  <c r="G19" i="37"/>
  <c r="G10" i="39"/>
  <c r="G15" i="39"/>
  <c r="G19" i="39"/>
  <c r="G10" i="40"/>
  <c r="G15" i="40"/>
  <c r="G19" i="40"/>
  <c r="G7" i="43"/>
  <c r="H7" i="43" s="1"/>
  <c r="G10" i="43"/>
  <c r="G15" i="44"/>
  <c r="G19" i="44"/>
  <c r="G7" i="44"/>
  <c r="G10" i="44"/>
  <c r="G19" i="42"/>
  <c r="G7" i="42"/>
  <c r="G10" i="42"/>
  <c r="G15" i="42"/>
  <c r="I10" i="35"/>
  <c r="I15" i="35"/>
  <c r="I19" i="35"/>
  <c r="I10" i="36"/>
  <c r="I15" i="36"/>
  <c r="I19" i="36"/>
  <c r="I10" i="37"/>
  <c r="I15" i="37"/>
  <c r="I19" i="37"/>
  <c r="I10" i="38"/>
  <c r="I15" i="38"/>
  <c r="I19" i="38"/>
  <c r="I10" i="39"/>
  <c r="I15" i="39"/>
  <c r="I19" i="39"/>
  <c r="I10" i="40"/>
  <c r="I15" i="40"/>
  <c r="I19" i="40"/>
  <c r="I15" i="42"/>
  <c r="I19" i="42"/>
  <c r="I7" i="42"/>
  <c r="I15" i="43"/>
  <c r="I19" i="43"/>
  <c r="I15" i="44"/>
  <c r="I19" i="44"/>
  <c r="I10" i="42"/>
  <c r="I7" i="43"/>
  <c r="I10" i="43"/>
  <c r="I7" i="44"/>
  <c r="I10" i="44"/>
  <c r="J10" i="35"/>
  <c r="J15" i="35"/>
  <c r="J19" i="35"/>
  <c r="J10" i="36"/>
  <c r="J15" i="36"/>
  <c r="J19" i="36"/>
  <c r="J10" i="37"/>
  <c r="J15" i="37"/>
  <c r="J19" i="37"/>
  <c r="J10" i="38"/>
  <c r="J15" i="38"/>
  <c r="J19" i="38"/>
  <c r="J10" i="39"/>
  <c r="J15" i="39"/>
  <c r="J19" i="39"/>
  <c r="J10" i="40"/>
  <c r="J15" i="40"/>
  <c r="J19" i="40"/>
  <c r="J15" i="42"/>
  <c r="J19" i="42"/>
  <c r="J7" i="42"/>
  <c r="J10" i="42"/>
  <c r="J15" i="43"/>
  <c r="J19" i="43"/>
  <c r="J7" i="43"/>
  <c r="J10" i="43"/>
  <c r="J15" i="44"/>
  <c r="J19" i="44"/>
  <c r="J7" i="44"/>
  <c r="J10" i="44"/>
  <c r="K10" i="35"/>
  <c r="K15" i="35"/>
  <c r="K19" i="35"/>
  <c r="K10" i="36"/>
  <c r="K15" i="36"/>
  <c r="K19" i="36"/>
  <c r="K10" i="37"/>
  <c r="K15" i="37"/>
  <c r="K19" i="37"/>
  <c r="K10" i="38"/>
  <c r="K15" i="38"/>
  <c r="K19" i="38"/>
  <c r="K10" i="39"/>
  <c r="K15" i="39"/>
  <c r="K19" i="39"/>
  <c r="K10" i="40"/>
  <c r="K15" i="40"/>
  <c r="K19" i="40"/>
  <c r="K20" i="40" s="1"/>
  <c r="K22" i="40" s="1"/>
  <c r="K15" i="42"/>
  <c r="K19" i="42"/>
  <c r="K7" i="42"/>
  <c r="K10" i="42"/>
  <c r="K15" i="43"/>
  <c r="K19" i="43"/>
  <c r="K7" i="43"/>
  <c r="K10" i="43"/>
  <c r="K15" i="44"/>
  <c r="K19" i="44"/>
  <c r="K7" i="44"/>
  <c r="K10" i="44"/>
  <c r="L10" i="35"/>
  <c r="L15" i="35"/>
  <c r="L19" i="35"/>
  <c r="L10" i="36"/>
  <c r="L15" i="36"/>
  <c r="L19" i="36"/>
  <c r="L10" i="37"/>
  <c r="L15" i="37"/>
  <c r="L19" i="37"/>
  <c r="L10" i="38"/>
  <c r="L15" i="38"/>
  <c r="L19" i="38"/>
  <c r="L10" i="39"/>
  <c r="L15" i="39"/>
  <c r="L19" i="39"/>
  <c r="L10" i="40"/>
  <c r="L15" i="40"/>
  <c r="L19" i="40"/>
  <c r="L15" i="44"/>
  <c r="L7" i="44"/>
  <c r="L10" i="44"/>
  <c r="L10" i="45" s="1"/>
  <c r="L19" i="44"/>
  <c r="L15" i="42"/>
  <c r="L19" i="42"/>
  <c r="L7" i="42"/>
  <c r="L10" i="42"/>
  <c r="L15" i="43"/>
  <c r="L19" i="43"/>
  <c r="L7" i="43"/>
  <c r="L10" i="43"/>
  <c r="B6" i="41"/>
  <c r="B6" i="45"/>
  <c r="C6" i="41"/>
  <c r="C6" i="46" s="1"/>
  <c r="C6" i="45"/>
  <c r="D6" i="41"/>
  <c r="D6" i="45"/>
  <c r="E6" i="41"/>
  <c r="E6" i="45"/>
  <c r="F6" i="45"/>
  <c r="G6" i="41"/>
  <c r="G6" i="45"/>
  <c r="I6" i="41"/>
  <c r="I6" i="45"/>
  <c r="J6" i="41"/>
  <c r="J6" i="45"/>
  <c r="K6" i="41"/>
  <c r="K6" i="46" s="1"/>
  <c r="K6" i="45"/>
  <c r="L6" i="41"/>
  <c r="L6" i="45"/>
  <c r="N6" i="41"/>
  <c r="N6" i="45"/>
  <c r="H7" i="44"/>
  <c r="N7" i="45"/>
  <c r="B8" i="41"/>
  <c r="B8" i="45"/>
  <c r="C8" i="41"/>
  <c r="C8" i="45"/>
  <c r="D8" i="41"/>
  <c r="D8" i="45"/>
  <c r="E8" i="41"/>
  <c r="E8" i="45"/>
  <c r="F8" i="45"/>
  <c r="G8" i="41"/>
  <c r="G8" i="45"/>
  <c r="H8" i="42"/>
  <c r="I8" i="41"/>
  <c r="I8" i="45"/>
  <c r="J8" i="41"/>
  <c r="J8" i="45"/>
  <c r="K8" i="41"/>
  <c r="K8" i="45"/>
  <c r="L8" i="41"/>
  <c r="L8" i="45"/>
  <c r="N8" i="41"/>
  <c r="N8" i="45"/>
  <c r="B10" i="45"/>
  <c r="H10" i="40"/>
  <c r="K10" i="45"/>
  <c r="B11" i="41"/>
  <c r="B11" i="45"/>
  <c r="C11" i="41"/>
  <c r="C11" i="45"/>
  <c r="D11" i="41"/>
  <c r="D11" i="45"/>
  <c r="E11" i="41"/>
  <c r="E11" i="45"/>
  <c r="G11" i="41"/>
  <c r="G11" i="45"/>
  <c r="I11" i="41"/>
  <c r="I11" i="45"/>
  <c r="J11" i="41"/>
  <c r="J11" i="45"/>
  <c r="K11" i="41"/>
  <c r="K11" i="45"/>
  <c r="L11" i="41"/>
  <c r="L11" i="45"/>
  <c r="N11" i="41"/>
  <c r="N11" i="45"/>
  <c r="B12" i="41"/>
  <c r="B12" i="45"/>
  <c r="C12" i="41"/>
  <c r="C12" i="45"/>
  <c r="D12" i="41"/>
  <c r="D12" i="45"/>
  <c r="E12" i="41"/>
  <c r="E12" i="45"/>
  <c r="G12" i="41"/>
  <c r="G12" i="45"/>
  <c r="I12" i="41"/>
  <c r="I12" i="45"/>
  <c r="J12" i="41"/>
  <c r="J12" i="45"/>
  <c r="K12" i="41"/>
  <c r="K12" i="45"/>
  <c r="L12" i="41"/>
  <c r="L12" i="45"/>
  <c r="N12" i="41"/>
  <c r="N12" i="45"/>
  <c r="B13" i="41"/>
  <c r="B13" i="45"/>
  <c r="C13" i="41"/>
  <c r="C13" i="45"/>
  <c r="D13" i="41"/>
  <c r="D13" i="45"/>
  <c r="E13" i="41"/>
  <c r="E13" i="45"/>
  <c r="G13" i="41"/>
  <c r="G13" i="45"/>
  <c r="I13" i="41"/>
  <c r="I13" i="45"/>
  <c r="J13" i="41"/>
  <c r="J13" i="45"/>
  <c r="K13" i="41"/>
  <c r="K13" i="45"/>
  <c r="L13" i="41"/>
  <c r="L13" i="45"/>
  <c r="N13" i="41"/>
  <c r="N13" i="45"/>
  <c r="B14" i="41"/>
  <c r="B14" i="45"/>
  <c r="C14" i="41"/>
  <c r="C14" i="45"/>
  <c r="D14" i="41"/>
  <c r="D14" i="45"/>
  <c r="E14" i="41"/>
  <c r="E14" i="45"/>
  <c r="G14" i="41"/>
  <c r="G14" i="45"/>
  <c r="I14" i="41"/>
  <c r="I14" i="45"/>
  <c r="J14" i="41"/>
  <c r="J14" i="45"/>
  <c r="K14" i="41"/>
  <c r="K14" i="45"/>
  <c r="L14" i="41"/>
  <c r="L14" i="45"/>
  <c r="N14" i="41"/>
  <c r="N14" i="45"/>
  <c r="B16" i="41"/>
  <c r="B16" i="45"/>
  <c r="C16" i="41"/>
  <c r="C16" i="45"/>
  <c r="D16" i="41"/>
  <c r="D16" i="45"/>
  <c r="E16" i="41"/>
  <c r="E16" i="45"/>
  <c r="G16" i="41"/>
  <c r="G16" i="45"/>
  <c r="I16" i="41"/>
  <c r="I16" i="45"/>
  <c r="J16" i="41"/>
  <c r="J16" i="45"/>
  <c r="K16" i="41"/>
  <c r="K16" i="45"/>
  <c r="L16" i="41"/>
  <c r="L16" i="45"/>
  <c r="N16" i="41"/>
  <c r="N16" i="45"/>
  <c r="B17" i="41"/>
  <c r="B17" i="45"/>
  <c r="C17" i="41"/>
  <c r="C17" i="45"/>
  <c r="D17" i="41"/>
  <c r="D17" i="45"/>
  <c r="E17" i="41"/>
  <c r="E17" i="45"/>
  <c r="G17" i="41"/>
  <c r="G17" i="45"/>
  <c r="I17" i="41"/>
  <c r="I17" i="45"/>
  <c r="J17" i="41"/>
  <c r="J17" i="45"/>
  <c r="K17" i="41"/>
  <c r="K17" i="45"/>
  <c r="L17" i="41"/>
  <c r="L17" i="45"/>
  <c r="N17" i="41"/>
  <c r="N17" i="45"/>
  <c r="B18" i="41"/>
  <c r="B18" i="45"/>
  <c r="C18" i="41"/>
  <c r="C18" i="45"/>
  <c r="D18" i="41"/>
  <c r="D18" i="45"/>
  <c r="E18" i="41"/>
  <c r="E18" i="45"/>
  <c r="G18" i="41"/>
  <c r="G18" i="45"/>
  <c r="I18" i="41"/>
  <c r="I18" i="45"/>
  <c r="J18" i="41"/>
  <c r="J18" i="45"/>
  <c r="K18" i="41"/>
  <c r="K18" i="45"/>
  <c r="L18" i="41"/>
  <c r="L18" i="45"/>
  <c r="N18" i="41"/>
  <c r="N18" i="45"/>
  <c r="N10" i="44"/>
  <c r="N10" i="43"/>
  <c r="O8" i="42"/>
  <c r="O10" i="42" s="1"/>
  <c r="N10" i="42"/>
  <c r="E12" i="16"/>
  <c r="G12" i="16" s="1"/>
  <c r="E24" i="16"/>
  <c r="G24" i="16" s="1"/>
  <c r="E30" i="16"/>
  <c r="E43" i="16" s="1"/>
  <c r="E36" i="16"/>
  <c r="E42" i="16"/>
  <c r="G11" i="6"/>
  <c r="K13" i="6"/>
  <c r="I15" i="6"/>
  <c r="K17" i="6"/>
  <c r="K18" i="6"/>
  <c r="K21" i="6"/>
  <c r="U29" i="6"/>
  <c r="U33" i="6"/>
  <c r="AE33" i="6"/>
  <c r="U35" i="6"/>
  <c r="AC38" i="6"/>
  <c r="W39" i="6"/>
  <c r="G5" i="5"/>
  <c r="I5" i="5"/>
  <c r="K5" i="5"/>
  <c r="G6" i="5"/>
  <c r="I6" i="5"/>
  <c r="K6" i="5"/>
  <c r="E7" i="5"/>
  <c r="G7" i="5"/>
  <c r="I7" i="5"/>
  <c r="K7" i="5"/>
  <c r="D9" i="5"/>
  <c r="F9" i="5"/>
  <c r="H9" i="5"/>
  <c r="J9" i="5"/>
  <c r="E11" i="5"/>
  <c r="G11" i="5"/>
  <c r="I11" i="5"/>
  <c r="K11" i="5"/>
  <c r="E12" i="5"/>
  <c r="G12" i="5"/>
  <c r="I12" i="5"/>
  <c r="K12" i="5"/>
  <c r="E13" i="5"/>
  <c r="G13" i="5"/>
  <c r="I13" i="5"/>
  <c r="K13" i="5"/>
  <c r="E14" i="5"/>
  <c r="G14" i="5"/>
  <c r="I14" i="5"/>
  <c r="K14" i="5"/>
  <c r="E15" i="5"/>
  <c r="G15" i="5"/>
  <c r="I15" i="5"/>
  <c r="K15" i="5"/>
  <c r="M15" i="5"/>
  <c r="D16" i="5"/>
  <c r="F16" i="5"/>
  <c r="H16" i="5"/>
  <c r="J16" i="5"/>
  <c r="E17" i="5"/>
  <c r="G17" i="5"/>
  <c r="I17" i="5"/>
  <c r="K17" i="5"/>
  <c r="E18" i="5"/>
  <c r="G18" i="5"/>
  <c r="I18" i="5"/>
  <c r="K18" i="5"/>
  <c r="E20" i="5"/>
  <c r="G20" i="5"/>
  <c r="I20" i="5"/>
  <c r="K20" i="5"/>
  <c r="E21" i="5"/>
  <c r="G21" i="5"/>
  <c r="I21" i="5"/>
  <c r="K21" i="5"/>
  <c r="D22" i="5"/>
  <c r="F22" i="5"/>
  <c r="H22" i="5"/>
  <c r="J22" i="5"/>
  <c r="O27" i="5"/>
  <c r="Q27" i="5"/>
  <c r="S27" i="5"/>
  <c r="U27" i="5"/>
  <c r="W27" i="5"/>
  <c r="Y27" i="5"/>
  <c r="O29" i="5"/>
  <c r="Q29" i="5"/>
  <c r="S29" i="5"/>
  <c r="U29" i="5"/>
  <c r="W29" i="5"/>
  <c r="Y29" i="5"/>
  <c r="O32" i="5"/>
  <c r="Q32" i="5"/>
  <c r="S32" i="5"/>
  <c r="U32" i="5"/>
  <c r="W32" i="5"/>
  <c r="AC32" i="5"/>
  <c r="AE32" i="5"/>
  <c r="AG32" i="5"/>
  <c r="O33" i="5"/>
  <c r="Q33" i="5"/>
  <c r="S33" i="5"/>
  <c r="U33" i="5"/>
  <c r="W33" i="5"/>
  <c r="AC33" i="5"/>
  <c r="AG33" i="5"/>
  <c r="O34" i="5"/>
  <c r="Q34" i="5"/>
  <c r="S34" i="5"/>
  <c r="U34" i="5"/>
  <c r="W34" i="5"/>
  <c r="AC34" i="5"/>
  <c r="AE34" i="5"/>
  <c r="AG34" i="5"/>
  <c r="O35" i="5"/>
  <c r="Q35" i="5"/>
  <c r="S35" i="5"/>
  <c r="U35" i="5"/>
  <c r="AC35" i="5"/>
  <c r="AG35" i="5"/>
  <c r="N36" i="5"/>
  <c r="P36" i="5"/>
  <c r="R36" i="5"/>
  <c r="R40" i="5"/>
  <c r="T36" i="5"/>
  <c r="U36" i="5" s="1"/>
  <c r="V36" i="5"/>
  <c r="AB36" i="5"/>
  <c r="AB40" i="5"/>
  <c r="AD36" i="5"/>
  <c r="O37" i="5"/>
  <c r="Q37" i="5"/>
  <c r="S37" i="5"/>
  <c r="U37" i="5"/>
  <c r="W37" i="5"/>
  <c r="Y37" i="5"/>
  <c r="AC37" i="5"/>
  <c r="AE37" i="5"/>
  <c r="AG37" i="5"/>
  <c r="Q38" i="5"/>
  <c r="S38" i="5"/>
  <c r="U38" i="5"/>
  <c r="W38" i="5"/>
  <c r="Y38" i="5"/>
  <c r="AC38" i="5"/>
  <c r="AE38" i="5"/>
  <c r="AG38" i="5"/>
  <c r="O39" i="5"/>
  <c r="Q39" i="5"/>
  <c r="S39" i="5"/>
  <c r="U39" i="5"/>
  <c r="W39" i="5"/>
  <c r="Y39" i="5"/>
  <c r="AC39" i="5"/>
  <c r="AE39" i="5"/>
  <c r="AG39" i="5"/>
  <c r="N40" i="5"/>
  <c r="P40" i="5"/>
  <c r="T40" i="5"/>
  <c r="V40" i="5"/>
  <c r="X40" i="5"/>
  <c r="AD40" i="5"/>
  <c r="AF40" i="5"/>
  <c r="E5" i="4"/>
  <c r="G5" i="4"/>
  <c r="I5" i="4"/>
  <c r="K5" i="4"/>
  <c r="E6" i="4"/>
  <c r="G6" i="4"/>
  <c r="I6" i="4"/>
  <c r="K6" i="4"/>
  <c r="D9" i="4"/>
  <c r="F9" i="4"/>
  <c r="H9" i="4"/>
  <c r="H22" i="4"/>
  <c r="H16" i="4"/>
  <c r="J9" i="4"/>
  <c r="K9" i="4" s="1"/>
  <c r="E11" i="4"/>
  <c r="G11" i="4"/>
  <c r="I11" i="4"/>
  <c r="K11" i="4"/>
  <c r="E12" i="4"/>
  <c r="G12" i="4"/>
  <c r="I12" i="4"/>
  <c r="K12" i="4"/>
  <c r="E13" i="4"/>
  <c r="G13" i="4"/>
  <c r="I13" i="4"/>
  <c r="K13" i="4"/>
  <c r="E14" i="4"/>
  <c r="G14" i="4"/>
  <c r="I14" i="4"/>
  <c r="K14" i="4"/>
  <c r="E15" i="4"/>
  <c r="G15" i="4"/>
  <c r="I15" i="4"/>
  <c r="K15" i="4"/>
  <c r="D16" i="4"/>
  <c r="F16" i="4"/>
  <c r="J16" i="4"/>
  <c r="G17" i="4"/>
  <c r="I17" i="4"/>
  <c r="K17" i="4"/>
  <c r="G18" i="4"/>
  <c r="I18" i="4"/>
  <c r="K18" i="4"/>
  <c r="E20" i="4"/>
  <c r="G20" i="4"/>
  <c r="I20" i="4"/>
  <c r="K20" i="4"/>
  <c r="G21" i="4"/>
  <c r="I21" i="4"/>
  <c r="K21" i="4"/>
  <c r="D22" i="4"/>
  <c r="F22" i="4"/>
  <c r="J22" i="4"/>
  <c r="O27" i="4"/>
  <c r="Q27" i="4"/>
  <c r="S27" i="4"/>
  <c r="U27" i="4"/>
  <c r="W27" i="4"/>
  <c r="Y27" i="4"/>
  <c r="O29" i="4"/>
  <c r="Q29" i="4"/>
  <c r="S29" i="4"/>
  <c r="U29" i="4"/>
  <c r="W29" i="4"/>
  <c r="Y29" i="4"/>
  <c r="O32" i="4"/>
  <c r="Q32" i="4"/>
  <c r="S32" i="4"/>
  <c r="U32" i="4"/>
  <c r="W32" i="4"/>
  <c r="AC32" i="4"/>
  <c r="AE32" i="4"/>
  <c r="AG32" i="4"/>
  <c r="O33" i="4"/>
  <c r="Q33" i="4"/>
  <c r="S33" i="4"/>
  <c r="U33" i="4"/>
  <c r="W33" i="4"/>
  <c r="AC33" i="4"/>
  <c r="AE33" i="4"/>
  <c r="AG33" i="4"/>
  <c r="O34" i="4"/>
  <c r="Q34" i="4"/>
  <c r="S34" i="4"/>
  <c r="U34" i="4"/>
  <c r="W34" i="4"/>
  <c r="AC34" i="4"/>
  <c r="AE34" i="4"/>
  <c r="AG34" i="4"/>
  <c r="O35" i="4"/>
  <c r="Q35" i="4"/>
  <c r="S35" i="4"/>
  <c r="U35" i="4"/>
  <c r="W35" i="4"/>
  <c r="AC35" i="4"/>
  <c r="AE35" i="4"/>
  <c r="AG35" i="4"/>
  <c r="N36" i="4"/>
  <c r="P36" i="4"/>
  <c r="R36" i="4"/>
  <c r="R40" i="4"/>
  <c r="T36" i="4"/>
  <c r="V36" i="4"/>
  <c r="W36" i="4" s="1"/>
  <c r="AB36" i="4"/>
  <c r="AF36" i="4"/>
  <c r="O37" i="4"/>
  <c r="Q37" i="4"/>
  <c r="S37" i="4"/>
  <c r="U37" i="4"/>
  <c r="W37" i="4"/>
  <c r="AC37" i="4"/>
  <c r="AE37" i="4"/>
  <c r="AG37" i="4"/>
  <c r="O38" i="4"/>
  <c r="Q38" i="4"/>
  <c r="S38" i="4"/>
  <c r="U38" i="4"/>
  <c r="W38" i="4"/>
  <c r="Y38" i="4"/>
  <c r="AC38" i="4"/>
  <c r="AE38" i="4"/>
  <c r="AG38" i="4"/>
  <c r="O39" i="4"/>
  <c r="Q39" i="4"/>
  <c r="S39" i="4"/>
  <c r="U39" i="4"/>
  <c r="W39" i="4"/>
  <c r="Y39" i="4"/>
  <c r="AC39" i="4"/>
  <c r="AE39" i="4"/>
  <c r="AG39" i="4"/>
  <c r="N40" i="4"/>
  <c r="P40" i="4"/>
  <c r="T40" i="4"/>
  <c r="V40" i="4"/>
  <c r="X40" i="4"/>
  <c r="AB40" i="4"/>
  <c r="AD40" i="4"/>
  <c r="AF40" i="4"/>
  <c r="AE26" i="3"/>
  <c r="AC26" i="3"/>
  <c r="AF26" i="3"/>
  <c r="AG26" i="3"/>
  <c r="AD26" i="3"/>
  <c r="D7" i="45"/>
  <c r="N10" i="45"/>
  <c r="AH25" i="3"/>
  <c r="AH26" i="3" s="1"/>
  <c r="G30" i="16"/>
  <c r="Y33" i="6"/>
  <c r="F10" i="37"/>
  <c r="F7" i="40"/>
  <c r="H7" i="40" s="1"/>
  <c r="O11" i="40"/>
  <c r="G19" i="5"/>
  <c r="O8" i="44"/>
  <c r="O10" i="44" s="1"/>
  <c r="M10" i="44"/>
  <c r="O6" i="44"/>
  <c r="O7" i="44" s="1"/>
  <c r="M7" i="44"/>
  <c r="O6" i="43"/>
  <c r="O7" i="43" s="1"/>
  <c r="M7" i="43"/>
  <c r="M10" i="42"/>
  <c r="G42" i="22"/>
  <c r="G12" i="19"/>
  <c r="AJ18" i="57"/>
  <c r="L11" i="57"/>
  <c r="AJ11" i="57" s="1"/>
  <c r="L17" i="57"/>
  <c r="O26" i="57"/>
  <c r="AE26" i="57"/>
  <c r="AG26" i="57"/>
  <c r="L5" i="57"/>
  <c r="L6" i="57"/>
  <c r="AJ6" i="57" s="1"/>
  <c r="L23" i="57"/>
  <c r="P26" i="57"/>
  <c r="P28" i="57" s="1"/>
  <c r="T26" i="57"/>
  <c r="X26" i="57"/>
  <c r="X28" i="57" s="1"/>
  <c r="AD26" i="57"/>
  <c r="Z29" i="57"/>
  <c r="Z32" i="57"/>
  <c r="Z37" i="57"/>
  <c r="L40" i="57"/>
  <c r="L41" i="57"/>
  <c r="M40" i="57"/>
  <c r="M41" i="57" s="1"/>
  <c r="AI26" i="57"/>
  <c r="AG39" i="57"/>
  <c r="AG38" i="58"/>
  <c r="AG37" i="57"/>
  <c r="AG32" i="57"/>
  <c r="AG34" i="57"/>
  <c r="AG33" i="57"/>
  <c r="AG35" i="57"/>
  <c r="AE39" i="57"/>
  <c r="AE38" i="58"/>
  <c r="AE37" i="57"/>
  <c r="AE34" i="58"/>
  <c r="AE33" i="57"/>
  <c r="AE35" i="57"/>
  <c r="AC38" i="57"/>
  <c r="AI37" i="58"/>
  <c r="AI38" i="57"/>
  <c r="AC39" i="57"/>
  <c r="AC35" i="57"/>
  <c r="AC33" i="57"/>
  <c r="AI33" i="57"/>
  <c r="AC34" i="58"/>
  <c r="AI34" i="58"/>
  <c r="AC32" i="57"/>
  <c r="AC36" i="57" s="1"/>
  <c r="AG38" i="57"/>
  <c r="AE38" i="59"/>
  <c r="AC38" i="59"/>
  <c r="AI38" i="59"/>
  <c r="AG37" i="58"/>
  <c r="AE37" i="58"/>
  <c r="AE40" i="58" s="1"/>
  <c r="AI37" i="59"/>
  <c r="AG33" i="58"/>
  <c r="AE33" i="58"/>
  <c r="AI33" i="58"/>
  <c r="AC33" i="58"/>
  <c r="AG34" i="58"/>
  <c r="AE34" i="57"/>
  <c r="AC34" i="57"/>
  <c r="AI34" i="59"/>
  <c r="AG41" i="59"/>
  <c r="AG42" i="59" s="1"/>
  <c r="AG39" i="58"/>
  <c r="AE39" i="59"/>
  <c r="AE41" i="59"/>
  <c r="AE42" i="59" s="1"/>
  <c r="AC39" i="59"/>
  <c r="AC41" i="59"/>
  <c r="AC42" i="59"/>
  <c r="AC39" i="58"/>
  <c r="AG35" i="58"/>
  <c r="AE35" i="58"/>
  <c r="AI35" i="58"/>
  <c r="AI35" i="59"/>
  <c r="AI35" i="57"/>
  <c r="O16" i="38"/>
  <c r="AI39" i="59"/>
  <c r="AI39" i="58"/>
  <c r="AI39" i="57"/>
  <c r="AK39" i="3"/>
  <c r="AI40" i="3"/>
  <c r="AI32" i="57"/>
  <c r="X36" i="6"/>
  <c r="Y36" i="6" s="1"/>
  <c r="AC35" i="58"/>
  <c r="W35" i="5"/>
  <c r="O11" i="42"/>
  <c r="AE32" i="57"/>
  <c r="AE36" i="57" s="1"/>
  <c r="AI32" i="58"/>
  <c r="AE32" i="58"/>
  <c r="AI36" i="3"/>
  <c r="AI41" i="3" s="1"/>
  <c r="L6" i="3"/>
  <c r="E6" i="5"/>
  <c r="C6" i="54"/>
  <c r="K6" i="6"/>
  <c r="AC37" i="57"/>
  <c r="O16" i="39"/>
  <c r="M16" i="35"/>
  <c r="O16" i="35" s="1"/>
  <c r="O8" i="40"/>
  <c r="O10" i="40" s="1"/>
  <c r="M10" i="40"/>
  <c r="AA27" i="57"/>
  <c r="AK27" i="57" s="1"/>
  <c r="AK28" i="57" s="1"/>
  <c r="F7" i="38"/>
  <c r="H7" i="35"/>
  <c r="F26" i="31"/>
  <c r="M17" i="42"/>
  <c r="O17" i="36"/>
  <c r="M17" i="35"/>
  <c r="O17" i="35" s="1"/>
  <c r="M18" i="35"/>
  <c r="O18" i="35" s="1"/>
  <c r="O13" i="43"/>
  <c r="M13" i="42"/>
  <c r="O13" i="42" s="1"/>
  <c r="I24" i="4"/>
  <c r="J24" i="6"/>
  <c r="K24" i="6" s="1"/>
  <c r="I25" i="59"/>
  <c r="T28" i="57"/>
  <c r="J7" i="45"/>
  <c r="I41" i="3"/>
  <c r="R26" i="3"/>
  <c r="R28" i="3" s="1"/>
  <c r="S28" i="5" s="1"/>
  <c r="O28" i="3"/>
  <c r="M40" i="3"/>
  <c r="M41" i="3" s="1"/>
  <c r="Z25" i="57"/>
  <c r="Z26" i="57" s="1"/>
  <c r="AK8" i="3"/>
  <c r="I24" i="54"/>
  <c r="K24" i="4"/>
  <c r="K24" i="5"/>
  <c r="J25" i="3"/>
  <c r="G7" i="4"/>
  <c r="F7" i="6"/>
  <c r="G7" i="6" s="1"/>
  <c r="F9" i="3"/>
  <c r="G23" i="5"/>
  <c r="L23" i="3"/>
  <c r="F22" i="3"/>
  <c r="L17" i="3"/>
  <c r="F25" i="3"/>
  <c r="Q26" i="59"/>
  <c r="Q28" i="59" s="1"/>
  <c r="U26" i="59"/>
  <c r="Y26" i="59"/>
  <c r="Y28" i="59" s="1"/>
  <c r="P36" i="3"/>
  <c r="P40" i="3"/>
  <c r="Q40" i="4" s="1"/>
  <c r="X40" i="3"/>
  <c r="H16" i="3"/>
  <c r="L12" i="3"/>
  <c r="AJ12" i="3" s="1"/>
  <c r="I7" i="4"/>
  <c r="H7" i="6"/>
  <c r="I7" i="6" s="1"/>
  <c r="F16" i="3"/>
  <c r="G16" i="5" s="1"/>
  <c r="O26" i="59"/>
  <c r="N40" i="3"/>
  <c r="Z34" i="3"/>
  <c r="Z39" i="3"/>
  <c r="AA39" i="5" s="1"/>
  <c r="L7" i="3"/>
  <c r="Y36" i="59"/>
  <c r="H24" i="6"/>
  <c r="I24" i="6" s="1"/>
  <c r="G24" i="54"/>
  <c r="I24" i="5"/>
  <c r="I25" i="5" s="1"/>
  <c r="G24" i="5"/>
  <c r="F24" i="6"/>
  <c r="G24" i="6" s="1"/>
  <c r="G24" i="4"/>
  <c r="L24" i="4"/>
  <c r="X26" i="58"/>
  <c r="X28" i="58" s="1"/>
  <c r="L24" i="3"/>
  <c r="H9" i="3"/>
  <c r="I9" i="4" s="1"/>
  <c r="J16" i="3"/>
  <c r="I8" i="5"/>
  <c r="H8" i="6"/>
  <c r="I8" i="6" s="1"/>
  <c r="U28" i="59"/>
  <c r="J10" i="53" l="1"/>
  <c r="C10" i="28"/>
  <c r="AI40" i="59"/>
  <c r="AE40" i="57"/>
  <c r="AE41" i="57" s="1"/>
  <c r="AG36" i="57"/>
  <c r="G41" i="3"/>
  <c r="AK12" i="3"/>
  <c r="E25" i="6"/>
  <c r="K18" i="54"/>
  <c r="AC40" i="58"/>
  <c r="AC41" i="58" s="1"/>
  <c r="AC42" i="58" s="1"/>
  <c r="V26" i="57"/>
  <c r="V28" i="57" s="1"/>
  <c r="T26" i="58"/>
  <c r="T28" i="58" s="1"/>
  <c r="T41" i="58" s="1"/>
  <c r="T42" i="58" s="1"/>
  <c r="W26" i="59"/>
  <c r="AC40" i="57"/>
  <c r="AC41" i="57" s="1"/>
  <c r="AG40" i="57"/>
  <c r="L8" i="46"/>
  <c r="E8" i="46"/>
  <c r="E6" i="46"/>
  <c r="B6" i="46"/>
  <c r="H10" i="43"/>
  <c r="U26" i="3"/>
  <c r="U28" i="3" s="1"/>
  <c r="AK18" i="3"/>
  <c r="AG36" i="58"/>
  <c r="F9" i="28"/>
  <c r="G30" i="25"/>
  <c r="G25" i="58"/>
  <c r="K41" i="58"/>
  <c r="E25" i="57"/>
  <c r="G36" i="16"/>
  <c r="S26" i="3"/>
  <c r="S28" i="3" s="1"/>
  <c r="AK34" i="3"/>
  <c r="Z25" i="3"/>
  <c r="Z26" i="3" s="1"/>
  <c r="G18" i="16"/>
  <c r="R26" i="57"/>
  <c r="R28" i="57" s="1"/>
  <c r="M23" i="57"/>
  <c r="AK23" i="57" s="1"/>
  <c r="O28" i="57"/>
  <c r="Y40" i="57"/>
  <c r="AJ8" i="58"/>
  <c r="I25" i="58"/>
  <c r="S26" i="59"/>
  <c r="AE45" i="3"/>
  <c r="AE36" i="58"/>
  <c r="AE41" i="58" s="1"/>
  <c r="AE42" i="58" s="1"/>
  <c r="AG40" i="58"/>
  <c r="K8" i="46"/>
  <c r="D6" i="46"/>
  <c r="G10" i="45"/>
  <c r="AK6" i="3"/>
  <c r="L10" i="53"/>
  <c r="D12" i="28"/>
  <c r="G24" i="25"/>
  <c r="G41" i="58"/>
  <c r="AD41" i="58"/>
  <c r="I16" i="59"/>
  <c r="E22" i="59"/>
  <c r="W28" i="59"/>
  <c r="M40" i="59"/>
  <c r="M41" i="59" s="1"/>
  <c r="L20" i="59"/>
  <c r="AJ20" i="59" s="1"/>
  <c r="AJ21" i="3"/>
  <c r="F19" i="40"/>
  <c r="AK27" i="3"/>
  <c r="AK28" i="3" s="1"/>
  <c r="AK5" i="3"/>
  <c r="AK14" i="3"/>
  <c r="H41" i="3"/>
  <c r="L40" i="3"/>
  <c r="L41" i="3" s="1"/>
  <c r="Z28" i="3"/>
  <c r="H10" i="36"/>
  <c r="AJ11" i="3"/>
  <c r="D7" i="28"/>
  <c r="N26" i="57"/>
  <c r="N28" i="57" s="1"/>
  <c r="N41" i="57" s="1"/>
  <c r="N42" i="57" s="1"/>
  <c r="W36" i="58"/>
  <c r="K16" i="59"/>
  <c r="K41" i="59"/>
  <c r="L40" i="59"/>
  <c r="L41" i="59" s="1"/>
  <c r="M19" i="4"/>
  <c r="AA35" i="5"/>
  <c r="AH39" i="54"/>
  <c r="Y32" i="54"/>
  <c r="V41" i="54"/>
  <c r="V45" i="54" s="1"/>
  <c r="T41" i="57"/>
  <c r="T42" i="57" s="1"/>
  <c r="AH32" i="59"/>
  <c r="X41" i="57"/>
  <c r="X42" i="57" s="1"/>
  <c r="H25" i="59"/>
  <c r="F17" i="34"/>
  <c r="H17" i="34" s="1"/>
  <c r="N27" i="31"/>
  <c r="N29" i="31" s="1"/>
  <c r="L20" i="37"/>
  <c r="L22" i="37" s="1"/>
  <c r="D19" i="45"/>
  <c r="D20" i="43"/>
  <c r="C20" i="35"/>
  <c r="C22" i="35" s="1"/>
  <c r="K20" i="39"/>
  <c r="K22" i="39" s="1"/>
  <c r="L20" i="38"/>
  <c r="L22" i="38" s="1"/>
  <c r="B10" i="41"/>
  <c r="B10" i="46" s="1"/>
  <c r="H8" i="36"/>
  <c r="M8" i="36" s="1"/>
  <c r="M10" i="36" s="1"/>
  <c r="M7" i="39"/>
  <c r="J28" i="56"/>
  <c r="G16" i="59"/>
  <c r="M13" i="59"/>
  <c r="AK13" i="59" s="1"/>
  <c r="E16" i="4"/>
  <c r="E22" i="58"/>
  <c r="M17" i="57"/>
  <c r="AK17" i="57" s="1"/>
  <c r="M8" i="58"/>
  <c r="AK8" i="58" s="1"/>
  <c r="M8" i="59"/>
  <c r="AK8" i="59" s="1"/>
  <c r="G25" i="5"/>
  <c r="H25" i="6"/>
  <c r="K16" i="57"/>
  <c r="J9" i="6"/>
  <c r="K9" i="6" s="1"/>
  <c r="I9" i="58"/>
  <c r="M6" i="58"/>
  <c r="AK6" i="58" s="1"/>
  <c r="AJ35" i="3"/>
  <c r="K35" i="56" s="1"/>
  <c r="AA35" i="4"/>
  <c r="W36" i="5"/>
  <c r="U36" i="4"/>
  <c r="S36" i="54"/>
  <c r="AA29" i="59"/>
  <c r="AK29" i="59" s="1"/>
  <c r="AK31" i="59" s="1"/>
  <c r="AA31" i="3"/>
  <c r="AB40" i="6"/>
  <c r="AJ27" i="3"/>
  <c r="AJ28" i="3" s="1"/>
  <c r="K28" i="56" s="1"/>
  <c r="W40" i="59"/>
  <c r="AC40" i="5"/>
  <c r="M18" i="44"/>
  <c r="O18" i="44" s="1"/>
  <c r="O18" i="45" s="1"/>
  <c r="M16" i="42"/>
  <c r="O16" i="42" s="1"/>
  <c r="I20" i="39"/>
  <c r="I22" i="39" s="1"/>
  <c r="D20" i="39"/>
  <c r="D22" i="39" s="1"/>
  <c r="H7" i="38"/>
  <c r="D20" i="38"/>
  <c r="D22" i="38" s="1"/>
  <c r="O8" i="37"/>
  <c r="O10" i="37" s="1"/>
  <c r="C10" i="41"/>
  <c r="C10" i="46" s="1"/>
  <c r="G7" i="41"/>
  <c r="B20" i="37"/>
  <c r="B22" i="37" s="1"/>
  <c r="D7" i="41"/>
  <c r="D7" i="46" s="1"/>
  <c r="I7" i="41"/>
  <c r="H7" i="36"/>
  <c r="B7" i="41"/>
  <c r="B7" i="46" s="1"/>
  <c r="E7" i="41"/>
  <c r="M12" i="31"/>
  <c r="O12" i="31" s="1"/>
  <c r="O12" i="53" s="1"/>
  <c r="D9" i="28"/>
  <c r="C9" i="28"/>
  <c r="K24" i="54"/>
  <c r="J22" i="56"/>
  <c r="T36" i="59"/>
  <c r="L25" i="58"/>
  <c r="AJ37" i="57"/>
  <c r="X40" i="59"/>
  <c r="AJ34" i="57"/>
  <c r="V41" i="57"/>
  <c r="V42" i="57" s="1"/>
  <c r="V28" i="59"/>
  <c r="AJ24" i="57"/>
  <c r="AD41" i="5"/>
  <c r="AD45" i="5" s="1"/>
  <c r="AI33" i="5"/>
  <c r="AA33" i="5"/>
  <c r="Z28" i="5"/>
  <c r="AJ28" i="5" s="1"/>
  <c r="AA27" i="5"/>
  <c r="K25" i="5"/>
  <c r="L25" i="5"/>
  <c r="AA34" i="4"/>
  <c r="G25" i="4"/>
  <c r="K16" i="4"/>
  <c r="M15" i="4"/>
  <c r="AG40" i="5"/>
  <c r="AI33" i="4"/>
  <c r="AG33" i="54"/>
  <c r="W40" i="58"/>
  <c r="U40" i="59"/>
  <c r="O36" i="58"/>
  <c r="AJ33" i="3"/>
  <c r="B12" i="47" s="1"/>
  <c r="Y33" i="54"/>
  <c r="O36" i="57"/>
  <c r="AA32" i="58"/>
  <c r="AK32" i="58" s="1"/>
  <c r="AA29" i="58"/>
  <c r="AA29" i="57"/>
  <c r="AA31" i="57" s="1"/>
  <c r="O31" i="5"/>
  <c r="R28" i="6"/>
  <c r="S28" i="6" s="1"/>
  <c r="S28" i="59"/>
  <c r="G25" i="54"/>
  <c r="K25" i="4"/>
  <c r="AK21" i="3"/>
  <c r="AJ18" i="3"/>
  <c r="K18" i="56" s="1"/>
  <c r="J16" i="6"/>
  <c r="K16" i="6" s="1"/>
  <c r="E16" i="5"/>
  <c r="AJ15" i="3"/>
  <c r="AI15" i="54" s="1"/>
  <c r="C16" i="54"/>
  <c r="M11" i="58"/>
  <c r="AK11" i="58" s="1"/>
  <c r="K5" i="6"/>
  <c r="G9" i="58"/>
  <c r="E12" i="28"/>
  <c r="E43" i="22"/>
  <c r="C8" i="28"/>
  <c r="I20" i="44"/>
  <c r="J20" i="38"/>
  <c r="J22" i="38" s="1"/>
  <c r="G12" i="25"/>
  <c r="D43" i="25"/>
  <c r="E10" i="28"/>
  <c r="E8" i="28"/>
  <c r="E7" i="28"/>
  <c r="E11" i="28"/>
  <c r="F12" i="28"/>
  <c r="F7" i="28"/>
  <c r="G12" i="22"/>
  <c r="G18" i="22"/>
  <c r="G24" i="22"/>
  <c r="G30" i="22"/>
  <c r="G36" i="22"/>
  <c r="C43" i="19"/>
  <c r="G43" i="19" s="1"/>
  <c r="C12" i="28"/>
  <c r="Y27" i="54"/>
  <c r="AI36" i="57"/>
  <c r="AH36" i="57"/>
  <c r="J25" i="54"/>
  <c r="M7" i="40"/>
  <c r="O6" i="38"/>
  <c r="O7" i="38" s="1"/>
  <c r="M7" i="38"/>
  <c r="L7" i="41"/>
  <c r="J7" i="41"/>
  <c r="J7" i="46" s="1"/>
  <c r="H6" i="36"/>
  <c r="M6" i="36" s="1"/>
  <c r="M7" i="36" s="1"/>
  <c r="F6" i="41"/>
  <c r="F6" i="46" s="1"/>
  <c r="J20" i="35"/>
  <c r="J22" i="35" s="1"/>
  <c r="H6" i="35"/>
  <c r="M6" i="35" s="1"/>
  <c r="AJ27" i="58"/>
  <c r="AJ28" i="58" s="1"/>
  <c r="Z28" i="58"/>
  <c r="P41" i="5"/>
  <c r="P45" i="5" s="1"/>
  <c r="AA27" i="4"/>
  <c r="S28" i="4"/>
  <c r="Y41" i="3"/>
  <c r="Y45" i="3" s="1"/>
  <c r="AA27" i="59"/>
  <c r="AK27" i="59" s="1"/>
  <c r="AK28" i="59" s="1"/>
  <c r="Z27" i="6"/>
  <c r="AA27" i="6" s="1"/>
  <c r="AA27" i="58"/>
  <c r="AA28" i="58" s="1"/>
  <c r="AA28" i="3"/>
  <c r="O28" i="59"/>
  <c r="K27" i="56"/>
  <c r="Y31" i="5"/>
  <c r="W31" i="5"/>
  <c r="Z31" i="3"/>
  <c r="X31" i="6"/>
  <c r="Y31" i="6" s="1"/>
  <c r="W31" i="4"/>
  <c r="U31" i="4"/>
  <c r="P31" i="6"/>
  <c r="Q31" i="6" s="1"/>
  <c r="J20" i="43"/>
  <c r="H19" i="40"/>
  <c r="E19" i="41"/>
  <c r="F19" i="38"/>
  <c r="H19" i="38" s="1"/>
  <c r="AG39" i="54"/>
  <c r="N41" i="54"/>
  <c r="N45" i="54" s="1"/>
  <c r="X41" i="58"/>
  <c r="X42" i="58" s="1"/>
  <c r="P41" i="58"/>
  <c r="P42" i="58" s="1"/>
  <c r="AH39" i="59"/>
  <c r="Z40" i="5"/>
  <c r="AC39" i="6"/>
  <c r="AI39" i="4"/>
  <c r="AI39" i="5"/>
  <c r="Y40" i="59"/>
  <c r="Y41" i="59" s="1"/>
  <c r="Y42" i="59" s="1"/>
  <c r="AA39" i="58"/>
  <c r="AK39" i="58" s="1"/>
  <c r="W40" i="57"/>
  <c r="Q40" i="57"/>
  <c r="Q40" i="59"/>
  <c r="O40" i="57"/>
  <c r="O40" i="59"/>
  <c r="K20" i="44"/>
  <c r="L20" i="43"/>
  <c r="F17" i="45"/>
  <c r="I20" i="40"/>
  <c r="I22" i="40" s="1"/>
  <c r="D20" i="40"/>
  <c r="D22" i="40" s="1"/>
  <c r="M19" i="40"/>
  <c r="F19" i="39"/>
  <c r="H19" i="39" s="1"/>
  <c r="O17" i="39"/>
  <c r="O19" i="39" s="1"/>
  <c r="M19" i="39"/>
  <c r="B20" i="39"/>
  <c r="B22" i="39" s="1"/>
  <c r="J20" i="37"/>
  <c r="J22" i="37" s="1"/>
  <c r="I20" i="37"/>
  <c r="I22" i="37" s="1"/>
  <c r="L19" i="41"/>
  <c r="G41" i="56"/>
  <c r="AD42" i="58"/>
  <c r="Z40" i="58"/>
  <c r="AJ38" i="58"/>
  <c r="U40" i="5"/>
  <c r="AF41" i="4"/>
  <c r="AF45" i="4" s="1"/>
  <c r="R40" i="6"/>
  <c r="S40" i="6" s="1"/>
  <c r="O40" i="4"/>
  <c r="AJ38" i="3"/>
  <c r="K38" i="56" s="1"/>
  <c r="AI38" i="5"/>
  <c r="AC40" i="6"/>
  <c r="X40" i="6"/>
  <c r="S40" i="58"/>
  <c r="P40" i="6"/>
  <c r="Q40" i="6" s="1"/>
  <c r="AA40" i="3"/>
  <c r="Z40" i="3"/>
  <c r="AA38" i="4"/>
  <c r="G20" i="44"/>
  <c r="C20" i="44"/>
  <c r="B20" i="44"/>
  <c r="K19" i="45"/>
  <c r="I19" i="45"/>
  <c r="E20" i="43"/>
  <c r="N19" i="45"/>
  <c r="L20" i="40"/>
  <c r="L22" i="40" s="1"/>
  <c r="J20" i="40"/>
  <c r="J22" i="40" s="1"/>
  <c r="N20" i="39"/>
  <c r="N22" i="39" s="1"/>
  <c r="F16" i="41"/>
  <c r="C20" i="39"/>
  <c r="C22" i="39" s="1"/>
  <c r="C19" i="41"/>
  <c r="B20" i="38"/>
  <c r="B22" i="38" s="1"/>
  <c r="N19" i="41"/>
  <c r="J20" i="36"/>
  <c r="J22" i="36" s="1"/>
  <c r="G20" i="36"/>
  <c r="G22" i="36" s="1"/>
  <c r="B20" i="35"/>
  <c r="B22" i="35" s="1"/>
  <c r="J40" i="56"/>
  <c r="AD41" i="54"/>
  <c r="AD45" i="54" s="1"/>
  <c r="Z41" i="54"/>
  <c r="Z45" i="54" s="1"/>
  <c r="U40" i="54"/>
  <c r="AD40" i="6"/>
  <c r="AE40" i="6" s="1"/>
  <c r="AH37" i="6"/>
  <c r="AI37" i="6" s="1"/>
  <c r="AC37" i="6"/>
  <c r="W40" i="4"/>
  <c r="W40" i="5"/>
  <c r="U40" i="4"/>
  <c r="S40" i="54"/>
  <c r="AK37" i="3"/>
  <c r="M40" i="54"/>
  <c r="O40" i="5"/>
  <c r="D41" i="56"/>
  <c r="AD41" i="57"/>
  <c r="AD42" i="57" s="1"/>
  <c r="AB41" i="5"/>
  <c r="AB45" i="5" s="1"/>
  <c r="AI35" i="4"/>
  <c r="J15" i="41"/>
  <c r="AH34" i="54"/>
  <c r="Z36" i="57"/>
  <c r="AJ34" i="5"/>
  <c r="AI34" i="5"/>
  <c r="AG34" i="54"/>
  <c r="AA34" i="57"/>
  <c r="AK34" i="57" s="1"/>
  <c r="Q36" i="4"/>
  <c r="AA36" i="3"/>
  <c r="M36" i="54"/>
  <c r="L15" i="45"/>
  <c r="F12" i="45"/>
  <c r="F15" i="43"/>
  <c r="H15" i="43" s="1"/>
  <c r="D15" i="45"/>
  <c r="M15" i="43"/>
  <c r="M12" i="45"/>
  <c r="N15" i="45"/>
  <c r="N20" i="42"/>
  <c r="D20" i="42"/>
  <c r="B15" i="45"/>
  <c r="C12" i="46"/>
  <c r="N11" i="46"/>
  <c r="K11" i="46"/>
  <c r="E11" i="46"/>
  <c r="G15" i="45"/>
  <c r="N20" i="44"/>
  <c r="C18" i="46"/>
  <c r="N17" i="46"/>
  <c r="K17" i="46"/>
  <c r="B16" i="46"/>
  <c r="L14" i="46"/>
  <c r="K15" i="45"/>
  <c r="I15" i="45"/>
  <c r="D20" i="44"/>
  <c r="O15" i="43"/>
  <c r="J11" i="46"/>
  <c r="G11" i="46"/>
  <c r="B11" i="46"/>
  <c r="H18" i="45"/>
  <c r="N20" i="43"/>
  <c r="F18" i="45"/>
  <c r="D18" i="46"/>
  <c r="L17" i="46"/>
  <c r="J17" i="46"/>
  <c r="G17" i="46"/>
  <c r="E16" i="46"/>
  <c r="K14" i="46"/>
  <c r="I14" i="46"/>
  <c r="F19" i="43"/>
  <c r="H19" i="43" s="1"/>
  <c r="H12" i="45"/>
  <c r="M14" i="42"/>
  <c r="O14" i="42" s="1"/>
  <c r="H14" i="45"/>
  <c r="F19" i="42"/>
  <c r="H19" i="42" s="1"/>
  <c r="H11" i="45"/>
  <c r="L18" i="46"/>
  <c r="J18" i="46"/>
  <c r="F14" i="45"/>
  <c r="J13" i="46"/>
  <c r="G13" i="46"/>
  <c r="L12" i="46"/>
  <c r="G12" i="46"/>
  <c r="F15" i="42"/>
  <c r="H15" i="42" s="1"/>
  <c r="M11" i="45"/>
  <c r="F11" i="45"/>
  <c r="I18" i="46"/>
  <c r="D17" i="46"/>
  <c r="B17" i="46"/>
  <c r="J16" i="46"/>
  <c r="C14" i="46"/>
  <c r="N13" i="46"/>
  <c r="K13" i="46"/>
  <c r="C13" i="46"/>
  <c r="N12" i="46"/>
  <c r="I12" i="46"/>
  <c r="C20" i="42"/>
  <c r="L20" i="39"/>
  <c r="L22" i="39" s="1"/>
  <c r="K20" i="38"/>
  <c r="K22" i="38" s="1"/>
  <c r="I20" i="38"/>
  <c r="I22" i="38" s="1"/>
  <c r="I15" i="41"/>
  <c r="F15" i="37"/>
  <c r="H15" i="37" s="1"/>
  <c r="L20" i="36"/>
  <c r="L22" i="36" s="1"/>
  <c r="M15" i="36"/>
  <c r="AF36" i="54"/>
  <c r="AH33" i="59"/>
  <c r="AH33" i="6"/>
  <c r="AI33" i="6" s="1"/>
  <c r="AJ33" i="4"/>
  <c r="AK33" i="3"/>
  <c r="AA33" i="57"/>
  <c r="AK33" i="57" s="1"/>
  <c r="AC36" i="54"/>
  <c r="AD36" i="59"/>
  <c r="AI32" i="5"/>
  <c r="AJ32" i="4"/>
  <c r="P41" i="4"/>
  <c r="P45" i="4" s="1"/>
  <c r="AB36" i="6"/>
  <c r="AC36" i="6" s="1"/>
  <c r="AJ32" i="3"/>
  <c r="K32" i="56" s="1"/>
  <c r="AD41" i="3"/>
  <c r="AE41" i="5" s="1"/>
  <c r="AE36" i="5"/>
  <c r="AI32" i="4"/>
  <c r="AC36" i="4"/>
  <c r="AA32" i="5"/>
  <c r="AA32" i="4"/>
  <c r="F10" i="39"/>
  <c r="H10" i="39" s="1"/>
  <c r="O8" i="39"/>
  <c r="O10" i="39" s="1"/>
  <c r="G20" i="37"/>
  <c r="G22" i="37" s="1"/>
  <c r="H10" i="37"/>
  <c r="L10" i="41"/>
  <c r="L10" i="46" s="1"/>
  <c r="K20" i="36"/>
  <c r="K22" i="36" s="1"/>
  <c r="I20" i="36"/>
  <c r="I22" i="36" s="1"/>
  <c r="B20" i="36"/>
  <c r="B22" i="36" s="1"/>
  <c r="M10" i="35"/>
  <c r="O8" i="35"/>
  <c r="O10" i="35" s="1"/>
  <c r="F10" i="35"/>
  <c r="H10" i="35" s="1"/>
  <c r="F8" i="41"/>
  <c r="F8" i="46" s="1"/>
  <c r="G20" i="40"/>
  <c r="G22" i="40" s="1"/>
  <c r="C20" i="40"/>
  <c r="C22" i="40" s="1"/>
  <c r="F18" i="41"/>
  <c r="C7" i="41"/>
  <c r="N15" i="41"/>
  <c r="O12" i="38"/>
  <c r="O15" i="38" s="1"/>
  <c r="M15" i="38"/>
  <c r="D10" i="41"/>
  <c r="N7" i="41"/>
  <c r="N7" i="46" s="1"/>
  <c r="F15" i="38"/>
  <c r="H15" i="38" s="1"/>
  <c r="H18" i="38"/>
  <c r="M18" i="38" s="1"/>
  <c r="O18" i="38" s="1"/>
  <c r="O18" i="41" s="1"/>
  <c r="E15" i="41"/>
  <c r="M15" i="37"/>
  <c r="O11" i="37"/>
  <c r="O15" i="37" s="1"/>
  <c r="N20" i="37"/>
  <c r="N22" i="37" s="1"/>
  <c r="L13" i="46"/>
  <c r="K7" i="41"/>
  <c r="H11" i="41"/>
  <c r="O11" i="36"/>
  <c r="O15" i="36" s="1"/>
  <c r="N20" i="36"/>
  <c r="N22" i="36" s="1"/>
  <c r="C15" i="41"/>
  <c r="F11" i="41"/>
  <c r="F15" i="36"/>
  <c r="H15" i="36" s="1"/>
  <c r="G19" i="41"/>
  <c r="D19" i="41"/>
  <c r="D19" i="46" s="1"/>
  <c r="D20" i="36"/>
  <c r="D22" i="36" s="1"/>
  <c r="E13" i="46"/>
  <c r="G18" i="46"/>
  <c r="I6" i="46"/>
  <c r="N20" i="35"/>
  <c r="N22" i="35" s="1"/>
  <c r="N41" i="58"/>
  <c r="N42" i="58" s="1"/>
  <c r="E26" i="53"/>
  <c r="F26" i="33"/>
  <c r="H26" i="33" s="1"/>
  <c r="M26" i="33" s="1"/>
  <c r="O26" i="33" s="1"/>
  <c r="L25" i="57"/>
  <c r="E25" i="5"/>
  <c r="E25" i="4"/>
  <c r="K25" i="58"/>
  <c r="I25" i="54"/>
  <c r="K25" i="6"/>
  <c r="I25" i="6"/>
  <c r="G25" i="6"/>
  <c r="I25" i="4"/>
  <c r="M25" i="3"/>
  <c r="N26" i="53"/>
  <c r="B26" i="53"/>
  <c r="L27" i="33"/>
  <c r="L29" i="33" s="1"/>
  <c r="J25" i="56"/>
  <c r="AH23" i="54"/>
  <c r="AH25" i="54" s="1"/>
  <c r="J25" i="59"/>
  <c r="F26" i="58"/>
  <c r="F42" i="58" s="1"/>
  <c r="L25" i="4"/>
  <c r="K25" i="57"/>
  <c r="AK23" i="3"/>
  <c r="AK25" i="3" s="1"/>
  <c r="C25" i="54"/>
  <c r="J23" i="53"/>
  <c r="F23" i="31"/>
  <c r="H23" i="31" s="1"/>
  <c r="M23" i="31" s="1"/>
  <c r="O23" i="31" s="1"/>
  <c r="C23" i="53"/>
  <c r="F20" i="53"/>
  <c r="B23" i="53"/>
  <c r="B26" i="56"/>
  <c r="J26" i="58"/>
  <c r="F26" i="57"/>
  <c r="F42" i="57" s="1"/>
  <c r="M20" i="5"/>
  <c r="M19" i="5"/>
  <c r="K20" i="54"/>
  <c r="AJ20" i="3"/>
  <c r="K20" i="56" s="1"/>
  <c r="I26" i="3"/>
  <c r="I45" i="3" s="1"/>
  <c r="K19" i="54"/>
  <c r="G22" i="4"/>
  <c r="AJ19" i="3"/>
  <c r="K19" i="56" s="1"/>
  <c r="AK20" i="3"/>
  <c r="M20" i="58"/>
  <c r="AK20" i="58" s="1"/>
  <c r="I26" i="32"/>
  <c r="I28" i="32" s="1"/>
  <c r="F19" i="53"/>
  <c r="E23" i="53"/>
  <c r="K26" i="32"/>
  <c r="K28" i="32" s="1"/>
  <c r="M22" i="32"/>
  <c r="O22" i="32" s="1"/>
  <c r="D23" i="53"/>
  <c r="F26" i="54"/>
  <c r="F45" i="54" s="1"/>
  <c r="J22" i="59"/>
  <c r="D16" i="6"/>
  <c r="E16" i="6" s="1"/>
  <c r="F14" i="53"/>
  <c r="H16" i="59"/>
  <c r="L13" i="6"/>
  <c r="AJ13" i="6" s="1"/>
  <c r="E27" i="34"/>
  <c r="E29" i="34" s="1"/>
  <c r="B27" i="33"/>
  <c r="B29" i="33" s="1"/>
  <c r="F13" i="53"/>
  <c r="L17" i="53"/>
  <c r="D26" i="32"/>
  <c r="D28" i="32" s="1"/>
  <c r="K11" i="56"/>
  <c r="G16" i="54"/>
  <c r="L16" i="4"/>
  <c r="AJ16" i="4" s="1"/>
  <c r="M11" i="4"/>
  <c r="M11" i="5"/>
  <c r="L11" i="6"/>
  <c r="M11" i="6" s="1"/>
  <c r="E11" i="6"/>
  <c r="I27" i="34"/>
  <c r="I29" i="34" s="1"/>
  <c r="M17" i="34"/>
  <c r="O17" i="34" s="1"/>
  <c r="C27" i="34"/>
  <c r="C29" i="34" s="1"/>
  <c r="K27" i="33"/>
  <c r="K29" i="33" s="1"/>
  <c r="G27" i="33"/>
  <c r="G29" i="33" s="1"/>
  <c r="D27" i="33"/>
  <c r="D29" i="33" s="1"/>
  <c r="C27" i="33"/>
  <c r="C29" i="33" s="1"/>
  <c r="E26" i="32"/>
  <c r="E28" i="32" s="1"/>
  <c r="J16" i="56"/>
  <c r="H26" i="56"/>
  <c r="H26" i="54"/>
  <c r="H45" i="54" s="1"/>
  <c r="B26" i="54"/>
  <c r="B45" i="54" s="1"/>
  <c r="L8" i="59"/>
  <c r="AJ8" i="59" s="1"/>
  <c r="D9" i="59"/>
  <c r="M15" i="58"/>
  <c r="AK15" i="58" s="1"/>
  <c r="E16" i="58"/>
  <c r="J27" i="34"/>
  <c r="J29" i="34" s="1"/>
  <c r="N27" i="33"/>
  <c r="N29" i="33" s="1"/>
  <c r="L26" i="32"/>
  <c r="L28" i="32" s="1"/>
  <c r="G26" i="32"/>
  <c r="G28" i="32" s="1"/>
  <c r="I9" i="54"/>
  <c r="E9" i="4"/>
  <c r="K27" i="34"/>
  <c r="K29" i="34" s="1"/>
  <c r="F10" i="34"/>
  <c r="H10" i="34" s="1"/>
  <c r="M10" i="34" s="1"/>
  <c r="O10" i="34" s="1"/>
  <c r="J27" i="33"/>
  <c r="J29" i="33" s="1"/>
  <c r="I27" i="33"/>
  <c r="I29" i="33" s="1"/>
  <c r="E27" i="33"/>
  <c r="E29" i="33" s="1"/>
  <c r="F7" i="53"/>
  <c r="D26" i="53"/>
  <c r="G26" i="53"/>
  <c r="N17" i="53"/>
  <c r="N26" i="32"/>
  <c r="N28" i="32" s="1"/>
  <c r="C26" i="32"/>
  <c r="C28" i="32" s="1"/>
  <c r="F18" i="53"/>
  <c r="F9" i="53"/>
  <c r="J26" i="32"/>
  <c r="J28" i="32" s="1"/>
  <c r="G23" i="53"/>
  <c r="J9" i="59"/>
  <c r="L6" i="6"/>
  <c r="M6" i="6" s="1"/>
  <c r="D9" i="6"/>
  <c r="E9" i="6" s="1"/>
  <c r="K9" i="5"/>
  <c r="L9" i="3"/>
  <c r="M13" i="34"/>
  <c r="O13" i="34" s="1"/>
  <c r="H13" i="53"/>
  <c r="M7" i="34"/>
  <c r="O7" i="34" s="1"/>
  <c r="O7" i="53" s="1"/>
  <c r="H7" i="53"/>
  <c r="D27" i="34"/>
  <c r="D29" i="34" s="1"/>
  <c r="I17" i="53"/>
  <c r="F12" i="53"/>
  <c r="F26" i="34"/>
  <c r="H26" i="34" s="1"/>
  <c r="M26" i="34" s="1"/>
  <c r="O26" i="34" s="1"/>
  <c r="N27" i="34"/>
  <c r="N29" i="34" s="1"/>
  <c r="I26" i="53"/>
  <c r="G10" i="53"/>
  <c r="B27" i="34"/>
  <c r="B29" i="34" s="1"/>
  <c r="E10" i="53"/>
  <c r="B10" i="53"/>
  <c r="J9" i="56"/>
  <c r="C9" i="54"/>
  <c r="I9" i="5"/>
  <c r="L5" i="6"/>
  <c r="AJ5" i="6" s="1"/>
  <c r="G9" i="54"/>
  <c r="G9" i="59"/>
  <c r="M5" i="58"/>
  <c r="AK5" i="58" s="1"/>
  <c r="E9" i="5"/>
  <c r="G36" i="25"/>
  <c r="C27" i="28" s="1"/>
  <c r="E43" i="25"/>
  <c r="U26" i="57"/>
  <c r="U28" i="57" s="1"/>
  <c r="O40" i="58"/>
  <c r="AA37" i="58"/>
  <c r="AK37" i="58" s="1"/>
  <c r="Y26" i="57"/>
  <c r="Y28" i="57" s="1"/>
  <c r="AH25" i="57"/>
  <c r="AH26" i="57" s="1"/>
  <c r="I16" i="54"/>
  <c r="W40" i="54"/>
  <c r="Y40" i="4"/>
  <c r="Y40" i="5"/>
  <c r="G30" i="19"/>
  <c r="O9" i="32"/>
  <c r="O9" i="53" s="1"/>
  <c r="M9" i="53"/>
  <c r="M11" i="41"/>
  <c r="G42" i="16"/>
  <c r="D43" i="16"/>
  <c r="Q26" i="57"/>
  <c r="Q28" i="57" s="1"/>
  <c r="E16" i="54"/>
  <c r="C43" i="22"/>
  <c r="M18" i="45"/>
  <c r="C43" i="25"/>
  <c r="Q28" i="54"/>
  <c r="AA31" i="59"/>
  <c r="O11" i="35"/>
  <c r="AC42" i="57"/>
  <c r="AA37" i="59"/>
  <c r="AK37" i="59" s="1"/>
  <c r="AJ34" i="4"/>
  <c r="AI34" i="4"/>
  <c r="AJ8" i="5"/>
  <c r="AJ9" i="5" s="1"/>
  <c r="L9" i="5"/>
  <c r="AJ14" i="5"/>
  <c r="AJ16" i="5" s="1"/>
  <c r="L16" i="5"/>
  <c r="AJ29" i="5"/>
  <c r="AA29" i="5"/>
  <c r="H13" i="40"/>
  <c r="F13" i="41"/>
  <c r="H12" i="35"/>
  <c r="M12" i="35" s="1"/>
  <c r="O12" i="35" s="1"/>
  <c r="F15" i="35"/>
  <c r="F12" i="41"/>
  <c r="F12" i="46" s="1"/>
  <c r="M8" i="43"/>
  <c r="H8" i="45"/>
  <c r="O19" i="40"/>
  <c r="AJ6" i="3"/>
  <c r="AI6" i="54" s="1"/>
  <c r="M6" i="4"/>
  <c r="E20" i="38"/>
  <c r="E22" i="38" s="1"/>
  <c r="E10" i="41"/>
  <c r="AE40" i="4"/>
  <c r="AF42" i="57"/>
  <c r="AE42" i="57"/>
  <c r="H25" i="33"/>
  <c r="F25" i="53"/>
  <c r="O11" i="45"/>
  <c r="AJ5" i="57"/>
  <c r="G20" i="43"/>
  <c r="C20" i="37"/>
  <c r="C22" i="37" s="1"/>
  <c r="L20" i="44"/>
  <c r="N18" i="46"/>
  <c r="G16" i="46"/>
  <c r="J14" i="46"/>
  <c r="G8" i="46"/>
  <c r="K20" i="42"/>
  <c r="K15" i="41"/>
  <c r="J15" i="45"/>
  <c r="E20" i="44"/>
  <c r="E7" i="45"/>
  <c r="E20" i="36"/>
  <c r="E22" i="36" s="1"/>
  <c r="C7" i="45"/>
  <c r="M22" i="3"/>
  <c r="AK11" i="4"/>
  <c r="AH32" i="54"/>
  <c r="AI32" i="54" s="1"/>
  <c r="V26" i="3"/>
  <c r="V28" i="3" s="1"/>
  <c r="N41" i="4"/>
  <c r="N45" i="4" s="1"/>
  <c r="AE40" i="5"/>
  <c r="R41" i="5"/>
  <c r="R45" i="5" s="1"/>
  <c r="C17" i="46"/>
  <c r="N16" i="46"/>
  <c r="K16" i="46"/>
  <c r="D13" i="46"/>
  <c r="L11" i="46"/>
  <c r="I8" i="46"/>
  <c r="D8" i="46"/>
  <c r="E20" i="40"/>
  <c r="E22" i="40" s="1"/>
  <c r="O31" i="54"/>
  <c r="AG35" i="54"/>
  <c r="J17" i="53"/>
  <c r="C15" i="45"/>
  <c r="AI37" i="5"/>
  <c r="H6" i="42"/>
  <c r="F7" i="42"/>
  <c r="I16" i="46"/>
  <c r="J12" i="46"/>
  <c r="D12" i="46"/>
  <c r="N8" i="46"/>
  <c r="B8" i="46"/>
  <c r="J10" i="41"/>
  <c r="I10" i="45"/>
  <c r="H19" i="35"/>
  <c r="E19" i="45"/>
  <c r="E19" i="46" s="1"/>
  <c r="E20" i="35"/>
  <c r="E22" i="35" s="1"/>
  <c r="T41" i="54"/>
  <c r="T45" i="54" s="1"/>
  <c r="AB41" i="54"/>
  <c r="AB45" i="54" s="1"/>
  <c r="K41" i="3"/>
  <c r="Q26" i="3"/>
  <c r="Q28" i="3" s="1"/>
  <c r="Q41" i="3" s="1"/>
  <c r="Q45" i="3" s="1"/>
  <c r="AK15" i="3"/>
  <c r="AI36" i="59"/>
  <c r="AI41" i="59" s="1"/>
  <c r="AI42" i="59" s="1"/>
  <c r="AJ39" i="4"/>
  <c r="Q31" i="5"/>
  <c r="AJ35" i="5"/>
  <c r="AH35" i="54"/>
  <c r="AH38" i="54"/>
  <c r="W31" i="54"/>
  <c r="AJ37" i="3"/>
  <c r="B16" i="47" s="1"/>
  <c r="N20" i="40"/>
  <c r="N22" i="40" s="1"/>
  <c r="F25" i="32"/>
  <c r="H25" i="32" s="1"/>
  <c r="M25" i="32" s="1"/>
  <c r="O25" i="32" s="1"/>
  <c r="D17" i="53"/>
  <c r="N10" i="53"/>
  <c r="K10" i="53"/>
  <c r="I23" i="53"/>
  <c r="C27" i="31"/>
  <c r="C29" i="31" s="1"/>
  <c r="F17" i="31"/>
  <c r="H17" i="31" s="1"/>
  <c r="M17" i="31" s="1"/>
  <c r="O17" i="31" s="1"/>
  <c r="F17" i="33"/>
  <c r="H17" i="33" s="1"/>
  <c r="M17" i="33" s="1"/>
  <c r="O17" i="33" s="1"/>
  <c r="F10" i="38"/>
  <c r="H8" i="38"/>
  <c r="M8" i="38" s="1"/>
  <c r="H6" i="37"/>
  <c r="M6" i="37" s="1"/>
  <c r="F7" i="37"/>
  <c r="F16" i="53"/>
  <c r="B20" i="43"/>
  <c r="S36" i="57"/>
  <c r="U26" i="58"/>
  <c r="U28" i="58" s="1"/>
  <c r="C16" i="46"/>
  <c r="D14" i="46"/>
  <c r="C11" i="46"/>
  <c r="J8" i="46"/>
  <c r="N6" i="46"/>
  <c r="J6" i="46"/>
  <c r="L15" i="41"/>
  <c r="L15" i="46" s="1"/>
  <c r="K19" i="41"/>
  <c r="I20" i="42"/>
  <c r="D20" i="35"/>
  <c r="D22" i="35" s="1"/>
  <c r="C20" i="36"/>
  <c r="C22" i="36" s="1"/>
  <c r="D26" i="54"/>
  <c r="D45" i="54" s="1"/>
  <c r="O36" i="54"/>
  <c r="AE40" i="54"/>
  <c r="E41" i="3"/>
  <c r="AK32" i="3"/>
  <c r="AK19" i="3"/>
  <c r="M16" i="3"/>
  <c r="AI37" i="4"/>
  <c r="AH36" i="5"/>
  <c r="R36" i="6"/>
  <c r="S36" i="6" s="1"/>
  <c r="K15" i="54"/>
  <c r="AG37" i="54"/>
  <c r="J41" i="3"/>
  <c r="B20" i="40"/>
  <c r="F7" i="39"/>
  <c r="H7" i="39" s="1"/>
  <c r="F11" i="28"/>
  <c r="L18" i="59"/>
  <c r="AJ18" i="59" s="1"/>
  <c r="AJ14" i="3"/>
  <c r="K14" i="56" s="1"/>
  <c r="F41" i="56"/>
  <c r="D11" i="28"/>
  <c r="AJ7" i="57"/>
  <c r="AJ33" i="57"/>
  <c r="AJ35" i="57"/>
  <c r="AJ38" i="57"/>
  <c r="AJ39" i="57"/>
  <c r="Y36" i="57"/>
  <c r="Q36" i="57"/>
  <c r="AJ5" i="58"/>
  <c r="AJ22" i="58"/>
  <c r="Y26" i="58"/>
  <c r="Q36" i="58"/>
  <c r="Y36" i="58"/>
  <c r="U36" i="59"/>
  <c r="L7" i="59"/>
  <c r="AJ7" i="59" s="1"/>
  <c r="L13" i="59"/>
  <c r="AJ13" i="59" s="1"/>
  <c r="L14" i="59"/>
  <c r="AJ14" i="59" s="1"/>
  <c r="D25" i="59"/>
  <c r="Z39" i="59"/>
  <c r="AJ39" i="59" s="1"/>
  <c r="AE36" i="54"/>
  <c r="B19" i="45"/>
  <c r="B19" i="41"/>
  <c r="L26" i="53"/>
  <c r="K26" i="53"/>
  <c r="J26" i="53"/>
  <c r="F23" i="33"/>
  <c r="H23" i="33" s="1"/>
  <c r="M23" i="33" s="1"/>
  <c r="O23" i="33" s="1"/>
  <c r="G20" i="38"/>
  <c r="G22" i="38" s="1"/>
  <c r="F26" i="4"/>
  <c r="F45" i="4" s="1"/>
  <c r="AE36" i="4"/>
  <c r="D26" i="3"/>
  <c r="D45" i="3" s="1"/>
  <c r="F8" i="28"/>
  <c r="J41" i="57"/>
  <c r="P41" i="57"/>
  <c r="P42" i="57" s="1"/>
  <c r="M8" i="57"/>
  <c r="AK8" i="57" s="1"/>
  <c r="M12" i="57"/>
  <c r="AK12" i="57" s="1"/>
  <c r="M20" i="57"/>
  <c r="AK20" i="57" s="1"/>
  <c r="M6" i="57"/>
  <c r="AK6" i="57" s="1"/>
  <c r="I9" i="57"/>
  <c r="L9" i="58"/>
  <c r="O26" i="58"/>
  <c r="O28" i="58" s="1"/>
  <c r="V26" i="58"/>
  <c r="V28" i="58" s="1"/>
  <c r="AJ32" i="58"/>
  <c r="AJ34" i="58"/>
  <c r="L40" i="58"/>
  <c r="L41" i="58" s="1"/>
  <c r="AJ39" i="58"/>
  <c r="J41" i="58"/>
  <c r="J42" i="58" s="1"/>
  <c r="I9" i="59"/>
  <c r="I26" i="59" s="1"/>
  <c r="I42" i="59" s="1"/>
  <c r="K25" i="59"/>
  <c r="AA33" i="59"/>
  <c r="AK33" i="59" s="1"/>
  <c r="AA34" i="59"/>
  <c r="AK34" i="59" s="1"/>
  <c r="T40" i="59"/>
  <c r="AH37" i="59"/>
  <c r="I10" i="53"/>
  <c r="N23" i="53"/>
  <c r="K23" i="53"/>
  <c r="G17" i="53"/>
  <c r="D27" i="31"/>
  <c r="D29" i="31" s="1"/>
  <c r="C10" i="53"/>
  <c r="F10" i="33"/>
  <c r="H10" i="33" s="1"/>
  <c r="M10" i="33" s="1"/>
  <c r="O10" i="33" s="1"/>
  <c r="AJ25" i="5"/>
  <c r="M23" i="5"/>
  <c r="I26" i="56"/>
  <c r="I42" i="56" s="1"/>
  <c r="G26" i="56"/>
  <c r="B41" i="56"/>
  <c r="J36" i="56"/>
  <c r="D10" i="28"/>
  <c r="D43" i="22"/>
  <c r="G18" i="25"/>
  <c r="G42" i="25"/>
  <c r="J26" i="57"/>
  <c r="J42" i="57" s="1"/>
  <c r="M19" i="57"/>
  <c r="AK19" i="57" s="1"/>
  <c r="AJ7" i="58"/>
  <c r="M14" i="58"/>
  <c r="AK14" i="58" s="1"/>
  <c r="M17" i="58"/>
  <c r="AK17" i="58" s="1"/>
  <c r="M24" i="58"/>
  <c r="S26" i="58"/>
  <c r="S28" i="58" s="1"/>
  <c r="M21" i="59"/>
  <c r="AK21" i="59" s="1"/>
  <c r="AA38" i="59"/>
  <c r="AK38" i="59" s="1"/>
  <c r="F9" i="59"/>
  <c r="H9" i="59"/>
  <c r="L15" i="59"/>
  <c r="AJ15" i="59" s="1"/>
  <c r="L11" i="59"/>
  <c r="AJ11" i="59" s="1"/>
  <c r="L19" i="59"/>
  <c r="AJ19" i="59" s="1"/>
  <c r="N28" i="59"/>
  <c r="V36" i="59"/>
  <c r="L27" i="31"/>
  <c r="L29" i="31" s="1"/>
  <c r="J27" i="31"/>
  <c r="J29" i="31" s="1"/>
  <c r="I27" i="31"/>
  <c r="H24" i="53"/>
  <c r="M24" i="31"/>
  <c r="O25" i="31"/>
  <c r="F24" i="53"/>
  <c r="C26" i="53"/>
  <c r="H20" i="53"/>
  <c r="M19" i="31"/>
  <c r="H19" i="53"/>
  <c r="M22" i="31"/>
  <c r="M22" i="53" s="1"/>
  <c r="H22" i="53"/>
  <c r="F22" i="53"/>
  <c r="H12" i="53"/>
  <c r="G27" i="31"/>
  <c r="G29" i="31" s="1"/>
  <c r="H14" i="53"/>
  <c r="M14" i="31"/>
  <c r="H16" i="53"/>
  <c r="B17" i="53"/>
  <c r="F15" i="53"/>
  <c r="K27" i="31"/>
  <c r="M6" i="31"/>
  <c r="H6" i="53"/>
  <c r="F10" i="31"/>
  <c r="H10" i="31" s="1"/>
  <c r="M10" i="31" s="1"/>
  <c r="O10" i="31" s="1"/>
  <c r="B27" i="31"/>
  <c r="B29" i="31" s="1"/>
  <c r="H9" i="53"/>
  <c r="F6" i="53"/>
  <c r="H22" i="59"/>
  <c r="F22" i="59"/>
  <c r="AF41" i="58"/>
  <c r="AF42" i="58" s="1"/>
  <c r="AJ35" i="58"/>
  <c r="V41" i="58"/>
  <c r="V42" i="58" s="1"/>
  <c r="R40" i="59"/>
  <c r="P40" i="59"/>
  <c r="Z38" i="59"/>
  <c r="AJ37" i="58"/>
  <c r="R36" i="59"/>
  <c r="Z34" i="59"/>
  <c r="AJ34" i="59" s="1"/>
  <c r="P36" i="59"/>
  <c r="Z36" i="58"/>
  <c r="N36" i="59"/>
  <c r="AJ33" i="58"/>
  <c r="Z35" i="59"/>
  <c r="AJ29" i="58"/>
  <c r="AJ31" i="58" s="1"/>
  <c r="Z27" i="59"/>
  <c r="Z28" i="59" s="1"/>
  <c r="F25" i="59"/>
  <c r="AJ25" i="58"/>
  <c r="L22" i="58"/>
  <c r="H26" i="58"/>
  <c r="L16" i="58"/>
  <c r="AJ16" i="58"/>
  <c r="D26" i="58"/>
  <c r="D42" i="58" s="1"/>
  <c r="AJ6" i="58"/>
  <c r="L5" i="59"/>
  <c r="AJ5" i="59" s="1"/>
  <c r="AI40" i="57"/>
  <c r="AK39" i="57"/>
  <c r="AI40" i="58"/>
  <c r="AD40" i="59"/>
  <c r="AH40" i="57"/>
  <c r="AB40" i="59"/>
  <c r="AH38" i="59"/>
  <c r="AB36" i="59"/>
  <c r="AB41" i="57"/>
  <c r="AB42" i="57" s="1"/>
  <c r="V40" i="59"/>
  <c r="Z37" i="59"/>
  <c r="Z40" i="57"/>
  <c r="Z32" i="59"/>
  <c r="AJ32" i="59" s="1"/>
  <c r="R41" i="57"/>
  <c r="R42" i="57" s="1"/>
  <c r="AJ32" i="57"/>
  <c r="Z33" i="59"/>
  <c r="Z29" i="59"/>
  <c r="Z31" i="59" s="1"/>
  <c r="Z28" i="57"/>
  <c r="L24" i="59"/>
  <c r="AJ24" i="59" s="1"/>
  <c r="L23" i="59"/>
  <c r="J16" i="59"/>
  <c r="H26" i="57"/>
  <c r="H42" i="57" s="1"/>
  <c r="L16" i="57"/>
  <c r="AJ16" i="57"/>
  <c r="L12" i="59"/>
  <c r="AJ12" i="59" s="1"/>
  <c r="L9" i="57"/>
  <c r="D26" i="57"/>
  <c r="D42" i="57" s="1"/>
  <c r="E22" i="54"/>
  <c r="AG38" i="54"/>
  <c r="AF40" i="54"/>
  <c r="P41" i="54"/>
  <c r="P45" i="54" s="1"/>
  <c r="X40" i="54"/>
  <c r="U36" i="54"/>
  <c r="Y35" i="54"/>
  <c r="X36" i="54"/>
  <c r="X31" i="54"/>
  <c r="AH31" i="54" s="1"/>
  <c r="Y29" i="54"/>
  <c r="L41" i="54"/>
  <c r="L45" i="54" s="1"/>
  <c r="X28" i="54"/>
  <c r="K17" i="54"/>
  <c r="J22" i="54"/>
  <c r="K12" i="54"/>
  <c r="J16" i="54"/>
  <c r="K14" i="54"/>
  <c r="E9" i="54"/>
  <c r="AH9" i="54"/>
  <c r="K6" i="54"/>
  <c r="J9" i="54"/>
  <c r="E26" i="56"/>
  <c r="D26" i="56"/>
  <c r="H41" i="56"/>
  <c r="J31" i="56"/>
  <c r="K29" i="56"/>
  <c r="E41" i="56"/>
  <c r="C41" i="56"/>
  <c r="C26" i="56"/>
  <c r="F26" i="56"/>
  <c r="L22" i="5"/>
  <c r="M18" i="5"/>
  <c r="AJ22" i="5"/>
  <c r="AF41" i="5"/>
  <c r="AF45" i="5" s="1"/>
  <c r="AH40" i="5"/>
  <c r="AJ37" i="5"/>
  <c r="AJ39" i="5"/>
  <c r="AJ38" i="5"/>
  <c r="X41" i="5"/>
  <c r="X45" i="5" s="1"/>
  <c r="V41" i="5"/>
  <c r="V45" i="5" s="1"/>
  <c r="AI35" i="5"/>
  <c r="AJ32" i="5"/>
  <c r="T41" i="5"/>
  <c r="T45" i="5" s="1"/>
  <c r="S36" i="5"/>
  <c r="Z36" i="5"/>
  <c r="AJ33" i="5"/>
  <c r="Z31" i="5"/>
  <c r="J26" i="5"/>
  <c r="J45" i="5" s="1"/>
  <c r="I22" i="5"/>
  <c r="F26" i="5"/>
  <c r="F45" i="5" s="1"/>
  <c r="AK21" i="5"/>
  <c r="M14" i="5"/>
  <c r="AK11" i="5"/>
  <c r="AH38" i="6"/>
  <c r="AI38" i="6" s="1"/>
  <c r="AH40" i="4"/>
  <c r="AB41" i="6"/>
  <c r="AB45" i="6" s="1"/>
  <c r="V41" i="4"/>
  <c r="V45" i="4" s="1"/>
  <c r="AJ38" i="4"/>
  <c r="Z40" i="4"/>
  <c r="AA37" i="4"/>
  <c r="AJ37" i="4"/>
  <c r="AD41" i="4"/>
  <c r="AH36" i="4"/>
  <c r="AH34" i="6"/>
  <c r="AI34" i="6" s="1"/>
  <c r="AB41" i="4"/>
  <c r="AB45" i="4" s="1"/>
  <c r="AJ35" i="4"/>
  <c r="P36" i="6"/>
  <c r="Q36" i="6" s="1"/>
  <c r="Z36" i="4"/>
  <c r="AA33" i="4"/>
  <c r="AA29" i="4"/>
  <c r="T41" i="4"/>
  <c r="T45" i="4" s="1"/>
  <c r="Z31" i="4"/>
  <c r="Q31" i="4"/>
  <c r="AJ31" i="4"/>
  <c r="F25" i="6"/>
  <c r="M23" i="4"/>
  <c r="L23" i="6"/>
  <c r="AJ23" i="6" s="1"/>
  <c r="D25" i="6"/>
  <c r="L17" i="6"/>
  <c r="M17" i="6" s="1"/>
  <c r="M18" i="4"/>
  <c r="L22" i="4"/>
  <c r="AJ22" i="4" s="1"/>
  <c r="M20" i="4"/>
  <c r="D26" i="4"/>
  <c r="D45" i="4" s="1"/>
  <c r="L14" i="6"/>
  <c r="AJ14" i="6" s="1"/>
  <c r="M14" i="4"/>
  <c r="H16" i="6"/>
  <c r="I16" i="6" s="1"/>
  <c r="F9" i="6"/>
  <c r="G9" i="6" s="1"/>
  <c r="L9" i="4"/>
  <c r="AJ9" i="4" s="1"/>
  <c r="M17" i="4"/>
  <c r="H22" i="6"/>
  <c r="I22" i="6" s="1"/>
  <c r="G22" i="5"/>
  <c r="AK17" i="3"/>
  <c r="L22" i="3"/>
  <c r="AJ17" i="3"/>
  <c r="AK17" i="5" s="1"/>
  <c r="K22" i="58"/>
  <c r="H26" i="3"/>
  <c r="AD36" i="6"/>
  <c r="AK12" i="5"/>
  <c r="K12" i="56"/>
  <c r="Z31" i="57"/>
  <c r="AJ29" i="57"/>
  <c r="AJ31" i="57" s="1"/>
  <c r="M20" i="53"/>
  <c r="O20" i="31"/>
  <c r="O20" i="53" s="1"/>
  <c r="K7" i="54"/>
  <c r="AJ7" i="3"/>
  <c r="K7" i="56" s="1"/>
  <c r="L22" i="57"/>
  <c r="AJ17" i="57"/>
  <c r="AJ22" i="57" s="1"/>
  <c r="O12" i="44"/>
  <c r="H14" i="39"/>
  <c r="F14" i="41"/>
  <c r="F15" i="39"/>
  <c r="M15" i="33"/>
  <c r="H15" i="53"/>
  <c r="Q40" i="54"/>
  <c r="S40" i="4"/>
  <c r="AI12" i="54"/>
  <c r="M24" i="4"/>
  <c r="AJ24" i="3"/>
  <c r="M12" i="4"/>
  <c r="M12" i="53"/>
  <c r="O17" i="42"/>
  <c r="M17" i="43"/>
  <c r="H17" i="45"/>
  <c r="O14" i="44"/>
  <c r="H18" i="53"/>
  <c r="G26" i="3"/>
  <c r="O40" i="54"/>
  <c r="M7" i="4"/>
  <c r="P28" i="59"/>
  <c r="AA39" i="4"/>
  <c r="Y39" i="54"/>
  <c r="M12" i="5"/>
  <c r="Q40" i="5"/>
  <c r="AI21" i="54"/>
  <c r="AJ24" i="4"/>
  <c r="AJ25" i="4" s="1"/>
  <c r="AI27" i="54"/>
  <c r="O19" i="35"/>
  <c r="M13" i="53"/>
  <c r="O13" i="31"/>
  <c r="O14" i="35"/>
  <c r="D26" i="5"/>
  <c r="D45" i="5" s="1"/>
  <c r="E22" i="5"/>
  <c r="H26" i="5"/>
  <c r="H45" i="5" s="1"/>
  <c r="M19" i="35"/>
  <c r="J25" i="6"/>
  <c r="O12" i="42"/>
  <c r="AJ23" i="57"/>
  <c r="AA28" i="57"/>
  <c r="AI36" i="58"/>
  <c r="AI45" i="3"/>
  <c r="N41" i="5"/>
  <c r="N45" i="5" s="1"/>
  <c r="O36" i="5"/>
  <c r="K7" i="45"/>
  <c r="K20" i="43"/>
  <c r="K20" i="35"/>
  <c r="K10" i="41"/>
  <c r="K10" i="46" s="1"/>
  <c r="I20" i="35"/>
  <c r="I10" i="41"/>
  <c r="I10" i="46" s="1"/>
  <c r="G10" i="41"/>
  <c r="G10" i="46" s="1"/>
  <c r="G20" i="39"/>
  <c r="G22" i="39" s="1"/>
  <c r="G15" i="41"/>
  <c r="H8" i="31"/>
  <c r="M8" i="31" s="1"/>
  <c r="F8" i="53"/>
  <c r="H21" i="33"/>
  <c r="F21" i="53"/>
  <c r="L25" i="3"/>
  <c r="H26" i="31"/>
  <c r="O16" i="31"/>
  <c r="O16" i="53" s="1"/>
  <c r="M16" i="53"/>
  <c r="S36" i="4"/>
  <c r="R41" i="4"/>
  <c r="R45" i="4" s="1"/>
  <c r="M6" i="5"/>
  <c r="J26" i="4"/>
  <c r="J45" i="4" s="1"/>
  <c r="H26" i="4"/>
  <c r="H45" i="4" s="1"/>
  <c r="E17" i="46"/>
  <c r="L16" i="46"/>
  <c r="B14" i="46"/>
  <c r="I13" i="46"/>
  <c r="G6" i="46"/>
  <c r="J10" i="45"/>
  <c r="J20" i="39"/>
  <c r="J22" i="39" s="1"/>
  <c r="J19" i="41"/>
  <c r="E20" i="42"/>
  <c r="E10" i="45"/>
  <c r="H16" i="44"/>
  <c r="F16" i="45"/>
  <c r="F19" i="44"/>
  <c r="E14" i="46"/>
  <c r="L20" i="35"/>
  <c r="I7" i="45"/>
  <c r="I20" i="43"/>
  <c r="F10" i="45"/>
  <c r="H10" i="42"/>
  <c r="Y36" i="4"/>
  <c r="X41" i="4"/>
  <c r="X45" i="4" s="1"/>
  <c r="L23" i="53"/>
  <c r="F10" i="32"/>
  <c r="D10" i="53"/>
  <c r="S40" i="5"/>
  <c r="L19" i="45"/>
  <c r="L20" i="42"/>
  <c r="AH11" i="54"/>
  <c r="K11" i="54"/>
  <c r="I19" i="41"/>
  <c r="D20" i="37"/>
  <c r="Z29" i="6"/>
  <c r="AJ29" i="6" s="1"/>
  <c r="AK29" i="6" s="1"/>
  <c r="F23" i="34"/>
  <c r="B26" i="32"/>
  <c r="F16" i="32"/>
  <c r="K17" i="53"/>
  <c r="H16" i="37"/>
  <c r="M16" i="37" s="1"/>
  <c r="F19" i="37"/>
  <c r="H16" i="36"/>
  <c r="F19" i="36"/>
  <c r="H12" i="40"/>
  <c r="F15" i="40"/>
  <c r="H17" i="38"/>
  <c r="F17" i="41"/>
  <c r="X26" i="3"/>
  <c r="X28" i="3" s="1"/>
  <c r="T26" i="3"/>
  <c r="T28" i="3" s="1"/>
  <c r="P26" i="3"/>
  <c r="P28" i="3" s="1"/>
  <c r="K18" i="46"/>
  <c r="E18" i="46"/>
  <c r="B18" i="46"/>
  <c r="I17" i="46"/>
  <c r="D16" i="46"/>
  <c r="N14" i="46"/>
  <c r="G14" i="46"/>
  <c r="B13" i="46"/>
  <c r="K12" i="46"/>
  <c r="E12" i="46"/>
  <c r="B12" i="46"/>
  <c r="I11" i="46"/>
  <c r="D11" i="46"/>
  <c r="K20" i="37"/>
  <c r="K22" i="37" s="1"/>
  <c r="J20" i="44"/>
  <c r="J20" i="42"/>
  <c r="G20" i="35"/>
  <c r="G19" i="45"/>
  <c r="E20" i="37"/>
  <c r="D10" i="45"/>
  <c r="Z28" i="4"/>
  <c r="R41" i="54"/>
  <c r="R45" i="54" s="1"/>
  <c r="F41" i="3"/>
  <c r="N20" i="38"/>
  <c r="N10" i="41"/>
  <c r="N10" i="46" s="1"/>
  <c r="L27" i="34"/>
  <c r="G27" i="34"/>
  <c r="E17" i="53"/>
  <c r="E27" i="31"/>
  <c r="D15" i="41"/>
  <c r="D15" i="46" s="1"/>
  <c r="C8" i="46"/>
  <c r="L6" i="46"/>
  <c r="L7" i="45"/>
  <c r="J19" i="45"/>
  <c r="G7" i="45"/>
  <c r="G7" i="46" s="1"/>
  <c r="G20" i="42"/>
  <c r="H10" i="44"/>
  <c r="E15" i="45"/>
  <c r="E20" i="39"/>
  <c r="E22" i="39" s="1"/>
  <c r="C20" i="43"/>
  <c r="C19" i="45"/>
  <c r="C20" i="38"/>
  <c r="Q36" i="54"/>
  <c r="AH37" i="54"/>
  <c r="AH40" i="54" s="1"/>
  <c r="AC36" i="5"/>
  <c r="AH36" i="3"/>
  <c r="B15" i="41"/>
  <c r="C17" i="53"/>
  <c r="H13" i="44"/>
  <c r="F15" i="44"/>
  <c r="F13" i="45"/>
  <c r="N26" i="3"/>
  <c r="N28" i="3" s="1"/>
  <c r="N41" i="3" s="1"/>
  <c r="AG32" i="54"/>
  <c r="AK7" i="3"/>
  <c r="F22" i="6"/>
  <c r="G22" i="6" s="1"/>
  <c r="L20" i="6"/>
  <c r="M20" i="6" s="1"/>
  <c r="Z34" i="6"/>
  <c r="AA34" i="6" s="1"/>
  <c r="Z33" i="6"/>
  <c r="AH20" i="54"/>
  <c r="AH40" i="3"/>
  <c r="D22" i="59"/>
  <c r="L17" i="59"/>
  <c r="W41" i="3"/>
  <c r="W45" i="3" s="1"/>
  <c r="AK38" i="3"/>
  <c r="M9" i="3"/>
  <c r="L12" i="6"/>
  <c r="M12" i="6" s="1"/>
  <c r="O36" i="4"/>
  <c r="D16" i="59"/>
  <c r="Z32" i="6"/>
  <c r="AA32" i="6" s="1"/>
  <c r="O31" i="4"/>
  <c r="S31" i="5"/>
  <c r="AC40" i="4"/>
  <c r="AG40" i="4"/>
  <c r="Y38" i="54"/>
  <c r="F43" i="22"/>
  <c r="AF40" i="59"/>
  <c r="K13" i="54"/>
  <c r="AJ8" i="3"/>
  <c r="AI8" i="54" s="1"/>
  <c r="M21" i="57"/>
  <c r="AK21" i="57" s="1"/>
  <c r="M7" i="57"/>
  <c r="AK7" i="57" s="1"/>
  <c r="G16" i="57"/>
  <c r="G22" i="57"/>
  <c r="M7" i="58"/>
  <c r="AK7" i="58" s="1"/>
  <c r="M13" i="58"/>
  <c r="AK13" i="58" s="1"/>
  <c r="R26" i="58"/>
  <c r="AH36" i="58"/>
  <c r="AA32" i="59"/>
  <c r="AK32" i="59" s="1"/>
  <c r="F41" i="59"/>
  <c r="N40" i="59"/>
  <c r="AH34" i="59"/>
  <c r="AF36" i="59"/>
  <c r="K26" i="3"/>
  <c r="E26" i="3"/>
  <c r="E45" i="3" s="1"/>
  <c r="E9" i="57"/>
  <c r="I16" i="58"/>
  <c r="M23" i="58"/>
  <c r="AK23" i="58" s="1"/>
  <c r="M21" i="5"/>
  <c r="K5" i="54"/>
  <c r="E22" i="4"/>
  <c r="AJ8" i="57"/>
  <c r="W36" i="57"/>
  <c r="AA35" i="57"/>
  <c r="AK35" i="57" s="1"/>
  <c r="K16" i="58"/>
  <c r="M19" i="58"/>
  <c r="AK19" i="58" s="1"/>
  <c r="W26" i="58"/>
  <c r="W28" i="58" s="1"/>
  <c r="W41" i="58" s="1"/>
  <c r="W42" i="58" s="1"/>
  <c r="AB42" i="58"/>
  <c r="S36" i="58"/>
  <c r="AA35" i="58"/>
  <c r="AK35" i="58" s="1"/>
  <c r="H41" i="58"/>
  <c r="M40" i="58"/>
  <c r="M41" i="58" s="1"/>
  <c r="AH40" i="58"/>
  <c r="X26" i="59"/>
  <c r="R26" i="59"/>
  <c r="AA35" i="59"/>
  <c r="AK35" i="59" s="1"/>
  <c r="J41" i="59"/>
  <c r="F16" i="59"/>
  <c r="AH35" i="59"/>
  <c r="M12" i="58"/>
  <c r="AK12" i="58" s="1"/>
  <c r="L19" i="6"/>
  <c r="M19" i="6" s="1"/>
  <c r="K9" i="57"/>
  <c r="G16" i="58"/>
  <c r="Y28" i="58"/>
  <c r="AA34" i="58"/>
  <c r="AK34" i="58" s="1"/>
  <c r="Q40" i="58"/>
  <c r="Y40" i="58"/>
  <c r="M18" i="59"/>
  <c r="AK18" i="59" s="1"/>
  <c r="M19" i="59"/>
  <c r="AK19" i="59" s="1"/>
  <c r="M20" i="59"/>
  <c r="AK20" i="59" s="1"/>
  <c r="K22" i="59"/>
  <c r="AA39" i="59"/>
  <c r="AK39" i="59" s="1"/>
  <c r="I25" i="57"/>
  <c r="G25" i="59"/>
  <c r="M15" i="57"/>
  <c r="AK15" i="57" s="1"/>
  <c r="S31" i="54"/>
  <c r="K22" i="4"/>
  <c r="M14" i="57"/>
  <c r="AK14" i="57" s="1"/>
  <c r="M18" i="57"/>
  <c r="AK18" i="57" s="1"/>
  <c r="I16" i="57"/>
  <c r="I22" i="57"/>
  <c r="K22" i="57"/>
  <c r="AA32" i="57"/>
  <c r="AK32" i="57" s="1"/>
  <c r="S40" i="57"/>
  <c r="AA38" i="57"/>
  <c r="AK38" i="57" s="1"/>
  <c r="I22" i="58"/>
  <c r="G22" i="58"/>
  <c r="M21" i="58"/>
  <c r="AK21" i="58" s="1"/>
  <c r="AA33" i="58"/>
  <c r="AA38" i="58"/>
  <c r="AK38" i="58" s="1"/>
  <c r="U40" i="58"/>
  <c r="M11" i="59"/>
  <c r="AK11" i="59" s="1"/>
  <c r="M12" i="59"/>
  <c r="AK12" i="59" s="1"/>
  <c r="M14" i="59"/>
  <c r="AK14" i="59" s="1"/>
  <c r="M15" i="59"/>
  <c r="AK15" i="59" s="1"/>
  <c r="G22" i="59"/>
  <c r="G22" i="54"/>
  <c r="AA40" i="54"/>
  <c r="AF40" i="6"/>
  <c r="AG40" i="6" s="1"/>
  <c r="AH39" i="6"/>
  <c r="AF36" i="6"/>
  <c r="AF41" i="3"/>
  <c r="AA36" i="54"/>
  <c r="AB41" i="3"/>
  <c r="AG36" i="4"/>
  <c r="AG36" i="5"/>
  <c r="AH32" i="6"/>
  <c r="AH35" i="6"/>
  <c r="AI35" i="6" s="1"/>
  <c r="AJ39" i="3"/>
  <c r="S40" i="59"/>
  <c r="AA37" i="57"/>
  <c r="Z39" i="6"/>
  <c r="Z38" i="6"/>
  <c r="U40" i="57"/>
  <c r="Y40" i="6"/>
  <c r="Y37" i="54"/>
  <c r="Z37" i="6"/>
  <c r="AA38" i="5"/>
  <c r="V40" i="6"/>
  <c r="W40" i="6" s="1"/>
  <c r="N40" i="6"/>
  <c r="O40" i="6" s="1"/>
  <c r="AA37" i="5"/>
  <c r="T40" i="6"/>
  <c r="U40" i="6" s="1"/>
  <c r="Q36" i="5"/>
  <c r="AA34" i="5"/>
  <c r="AJ34" i="3"/>
  <c r="U36" i="58"/>
  <c r="Z35" i="6"/>
  <c r="U36" i="57"/>
  <c r="Z36" i="3"/>
  <c r="Y34" i="54"/>
  <c r="V36" i="6"/>
  <c r="T36" i="6"/>
  <c r="U36" i="6" s="1"/>
  <c r="N36" i="6"/>
  <c r="O36" i="6" s="1"/>
  <c r="O32" i="6"/>
  <c r="Q36" i="59"/>
  <c r="Q41" i="59" s="1"/>
  <c r="Q42" i="59" s="1"/>
  <c r="U41" i="3"/>
  <c r="U45" i="3" s="1"/>
  <c r="O41" i="3"/>
  <c r="O45" i="3" s="1"/>
  <c r="AI29" i="54"/>
  <c r="AK29" i="5"/>
  <c r="S31" i="4"/>
  <c r="U31" i="5"/>
  <c r="S41" i="3"/>
  <c r="S45" i="3" s="1"/>
  <c r="R31" i="6"/>
  <c r="R41" i="3"/>
  <c r="AJ31" i="3"/>
  <c r="AK29" i="4"/>
  <c r="Q31" i="54"/>
  <c r="M31" i="54"/>
  <c r="T31" i="6"/>
  <c r="U31" i="6" s="1"/>
  <c r="N31" i="6"/>
  <c r="M24" i="59"/>
  <c r="AK24" i="59" s="1"/>
  <c r="M24" i="57"/>
  <c r="AK24" i="57" s="1"/>
  <c r="AK25" i="57" s="1"/>
  <c r="L24" i="6"/>
  <c r="K23" i="54"/>
  <c r="K25" i="54" s="1"/>
  <c r="M23" i="59"/>
  <c r="E25" i="58"/>
  <c r="E26" i="58" s="1"/>
  <c r="E42" i="58" s="1"/>
  <c r="AJ23" i="3"/>
  <c r="M24" i="5"/>
  <c r="L21" i="6"/>
  <c r="M21" i="4"/>
  <c r="M18" i="58"/>
  <c r="AK18" i="58" s="1"/>
  <c r="I22" i="4"/>
  <c r="J22" i="6"/>
  <c r="K22" i="6" s="1"/>
  <c r="M17" i="59"/>
  <c r="E22" i="57"/>
  <c r="K21" i="56"/>
  <c r="M17" i="5"/>
  <c r="AK21" i="4"/>
  <c r="I22" i="54"/>
  <c r="K22" i="5"/>
  <c r="C22" i="54"/>
  <c r="L18" i="6"/>
  <c r="D22" i="6"/>
  <c r="E22" i="6" s="1"/>
  <c r="K21" i="54"/>
  <c r="AJ13" i="3"/>
  <c r="E16" i="59"/>
  <c r="E26" i="59" s="1"/>
  <c r="E42" i="59" s="1"/>
  <c r="L15" i="6"/>
  <c r="G12" i="6"/>
  <c r="AK11" i="3"/>
  <c r="M13" i="57"/>
  <c r="AK13" i="57" s="1"/>
  <c r="I16" i="4"/>
  <c r="AK12" i="4"/>
  <c r="G16" i="4"/>
  <c r="K16" i="5"/>
  <c r="J26" i="3"/>
  <c r="I16" i="5"/>
  <c r="L16" i="3"/>
  <c r="F26" i="3"/>
  <c r="M11" i="57"/>
  <c r="M13" i="4"/>
  <c r="M13" i="5"/>
  <c r="F16" i="6"/>
  <c r="G16" i="6" s="1"/>
  <c r="E16" i="57"/>
  <c r="K6" i="56"/>
  <c r="AK6" i="5"/>
  <c r="H9" i="6"/>
  <c r="K8" i="54"/>
  <c r="K9" i="58"/>
  <c r="M6" i="59"/>
  <c r="AK6" i="59" s="1"/>
  <c r="M5" i="59"/>
  <c r="M5" i="5"/>
  <c r="AJ5" i="3"/>
  <c r="L7" i="6"/>
  <c r="M7" i="5"/>
  <c r="L8" i="6"/>
  <c r="G9" i="4"/>
  <c r="M8" i="5"/>
  <c r="M5" i="57"/>
  <c r="M5" i="4"/>
  <c r="G9" i="5"/>
  <c r="G9" i="57"/>
  <c r="AJ6" i="6"/>
  <c r="AK6" i="6" s="1"/>
  <c r="M8" i="4"/>
  <c r="C25" i="28" l="1"/>
  <c r="C23" i="28"/>
  <c r="G43" i="22"/>
  <c r="G43" i="16"/>
  <c r="O14" i="45"/>
  <c r="AK29" i="57"/>
  <c r="AK31" i="57" s="1"/>
  <c r="AG41" i="57"/>
  <c r="AG42" i="57" s="1"/>
  <c r="G7" i="28"/>
  <c r="W41" i="59"/>
  <c r="W42" i="59" s="1"/>
  <c r="T41" i="59"/>
  <c r="T42" i="59" s="1"/>
  <c r="C13" i="28"/>
  <c r="AK9" i="3"/>
  <c r="M19" i="42"/>
  <c r="K45" i="3"/>
  <c r="G45" i="3"/>
  <c r="AK35" i="4"/>
  <c r="AG41" i="58"/>
  <c r="AG42" i="58" s="1"/>
  <c r="O8" i="36"/>
  <c r="O10" i="36" s="1"/>
  <c r="AK20" i="5"/>
  <c r="AK18" i="4"/>
  <c r="AK18" i="5"/>
  <c r="AI18" i="54"/>
  <c r="AK15" i="4"/>
  <c r="AK15" i="5"/>
  <c r="AK16" i="3"/>
  <c r="K15" i="56"/>
  <c r="B14" i="47"/>
  <c r="AI35" i="54"/>
  <c r="AK35" i="5"/>
  <c r="O41" i="57"/>
  <c r="O42" i="57" s="1"/>
  <c r="AK36" i="3"/>
  <c r="K33" i="56"/>
  <c r="AI33" i="54"/>
  <c r="AA31" i="4"/>
  <c r="K37" i="56"/>
  <c r="O41" i="59"/>
  <c r="O42" i="59" s="1"/>
  <c r="AK27" i="4"/>
  <c r="AK27" i="5"/>
  <c r="B6" i="47"/>
  <c r="B7" i="47"/>
  <c r="AK28" i="5"/>
  <c r="U41" i="59"/>
  <c r="U42" i="59" s="1"/>
  <c r="W41" i="57"/>
  <c r="W42" i="57" s="1"/>
  <c r="I7" i="46"/>
  <c r="M18" i="41"/>
  <c r="M18" i="46" s="1"/>
  <c r="H18" i="41"/>
  <c r="H18" i="46" s="1"/>
  <c r="O11" i="41"/>
  <c r="O11" i="46" s="1"/>
  <c r="C11" i="47" s="1"/>
  <c r="M10" i="37"/>
  <c r="C7" i="46"/>
  <c r="F16" i="46"/>
  <c r="J15" i="46"/>
  <c r="E10" i="46"/>
  <c r="L7" i="46"/>
  <c r="E7" i="46"/>
  <c r="O13" i="53"/>
  <c r="G12" i="28"/>
  <c r="G9" i="28"/>
  <c r="G26" i="54"/>
  <c r="AJ25" i="57"/>
  <c r="J26" i="59"/>
  <c r="J42" i="59" s="1"/>
  <c r="AA40" i="5"/>
  <c r="AA28" i="5"/>
  <c r="L25" i="6"/>
  <c r="M13" i="6"/>
  <c r="B17" i="47"/>
  <c r="AK38" i="4"/>
  <c r="AK38" i="5"/>
  <c r="AI38" i="54"/>
  <c r="AK33" i="4"/>
  <c r="AJ33" i="6"/>
  <c r="AK33" i="6" s="1"/>
  <c r="AK32" i="4"/>
  <c r="AK33" i="5"/>
  <c r="O41" i="58"/>
  <c r="O42" i="58" s="1"/>
  <c r="Q41" i="57"/>
  <c r="Q42" i="57" s="1"/>
  <c r="B11" i="47"/>
  <c r="AK32" i="5"/>
  <c r="AK29" i="58"/>
  <c r="AK31" i="58" s="1"/>
  <c r="AA31" i="58"/>
  <c r="S41" i="59"/>
  <c r="S42" i="59" s="1"/>
  <c r="Y41" i="58"/>
  <c r="Y42" i="58" s="1"/>
  <c r="S41" i="58"/>
  <c r="S42" i="58" s="1"/>
  <c r="AA28" i="59"/>
  <c r="M25" i="58"/>
  <c r="K26" i="57"/>
  <c r="K42" i="57" s="1"/>
  <c r="AK20" i="4"/>
  <c r="AJ22" i="3"/>
  <c r="AK22" i="4" s="1"/>
  <c r="K26" i="59"/>
  <c r="K42" i="59" s="1"/>
  <c r="AK14" i="6"/>
  <c r="AK8" i="4"/>
  <c r="E13" i="28"/>
  <c r="G43" i="25"/>
  <c r="G10" i="28"/>
  <c r="C26" i="28"/>
  <c r="N15" i="46"/>
  <c r="I15" i="46"/>
  <c r="G15" i="46"/>
  <c r="O15" i="35"/>
  <c r="G8" i="28"/>
  <c r="C24" i="28"/>
  <c r="AI41" i="57"/>
  <c r="AI42" i="57" s="1"/>
  <c r="AI41" i="58"/>
  <c r="AI42" i="58" s="1"/>
  <c r="AH41" i="57"/>
  <c r="AH42" i="57" s="1"/>
  <c r="M6" i="41"/>
  <c r="K7" i="46"/>
  <c r="O6" i="36"/>
  <c r="O7" i="36" s="1"/>
  <c r="M7" i="35"/>
  <c r="O6" i="35"/>
  <c r="O7" i="35" s="1"/>
  <c r="G42" i="56"/>
  <c r="F42" i="56"/>
  <c r="AJ27" i="59"/>
  <c r="AJ28" i="59" s="1"/>
  <c r="AJ27" i="6"/>
  <c r="AK27" i="6" s="1"/>
  <c r="AK27" i="58"/>
  <c r="AK28" i="58" s="1"/>
  <c r="AA41" i="3"/>
  <c r="AA45" i="3" s="1"/>
  <c r="B20" i="45"/>
  <c r="F18" i="46"/>
  <c r="G19" i="46"/>
  <c r="L19" i="46"/>
  <c r="H44" i="56"/>
  <c r="Z41" i="58"/>
  <c r="Z42" i="58" s="1"/>
  <c r="AJ40" i="57"/>
  <c r="U41" i="58"/>
  <c r="U42" i="58" s="1"/>
  <c r="F17" i="46"/>
  <c r="AJ40" i="58"/>
  <c r="Z41" i="57"/>
  <c r="Z42" i="57" s="1"/>
  <c r="Y40" i="54"/>
  <c r="AA40" i="4"/>
  <c r="AK40" i="59"/>
  <c r="K19" i="46"/>
  <c r="I19" i="46"/>
  <c r="E20" i="45"/>
  <c r="N19" i="46"/>
  <c r="C19" i="46"/>
  <c r="AJ37" i="59"/>
  <c r="AH40" i="59"/>
  <c r="AD41" i="59"/>
  <c r="AD42" i="59" s="1"/>
  <c r="V41" i="59"/>
  <c r="V42" i="59" s="1"/>
  <c r="AH41" i="4"/>
  <c r="AH45" i="4" s="1"/>
  <c r="AK40" i="3"/>
  <c r="S41" i="57"/>
  <c r="S42" i="57" s="1"/>
  <c r="AA40" i="59"/>
  <c r="AK40" i="58"/>
  <c r="AK37" i="4"/>
  <c r="AK37" i="5"/>
  <c r="D20" i="45"/>
  <c r="M15" i="42"/>
  <c r="M14" i="45"/>
  <c r="D44" i="56"/>
  <c r="AJ35" i="59"/>
  <c r="AA36" i="58"/>
  <c r="J20" i="45"/>
  <c r="B15" i="46"/>
  <c r="E15" i="46"/>
  <c r="F13" i="46"/>
  <c r="AJ36" i="4"/>
  <c r="AJ34" i="6"/>
  <c r="AK34" i="6" s="1"/>
  <c r="K15" i="46"/>
  <c r="K20" i="45"/>
  <c r="C20" i="45"/>
  <c r="F14" i="46"/>
  <c r="L20" i="45"/>
  <c r="N20" i="45"/>
  <c r="F11" i="46"/>
  <c r="B19" i="46"/>
  <c r="O18" i="46"/>
  <c r="C18" i="47" s="1"/>
  <c r="F20" i="43"/>
  <c r="H20" i="43" s="1"/>
  <c r="H11" i="46"/>
  <c r="I20" i="45"/>
  <c r="M11" i="46"/>
  <c r="F20" i="38"/>
  <c r="F22" i="38" s="1"/>
  <c r="C15" i="46"/>
  <c r="AF41" i="54"/>
  <c r="AF45" i="54" s="1"/>
  <c r="AJ36" i="57"/>
  <c r="N41" i="59"/>
  <c r="N42" i="59" s="1"/>
  <c r="AC41" i="54"/>
  <c r="AA33" i="6"/>
  <c r="C44" i="56"/>
  <c r="B44" i="56"/>
  <c r="AH36" i="54"/>
  <c r="AJ36" i="58"/>
  <c r="AH41" i="5"/>
  <c r="AH45" i="5" s="1"/>
  <c r="AD45" i="3"/>
  <c r="E22" i="43"/>
  <c r="AA36" i="59"/>
  <c r="AA36" i="57"/>
  <c r="Q41" i="58"/>
  <c r="Q42" i="58" s="1"/>
  <c r="J10" i="46"/>
  <c r="D10" i="46"/>
  <c r="AJ29" i="59"/>
  <c r="AJ31" i="59" s="1"/>
  <c r="M25" i="4"/>
  <c r="AK24" i="58"/>
  <c r="AK25" i="58" s="1"/>
  <c r="M25" i="5"/>
  <c r="AK23" i="6"/>
  <c r="B42" i="56"/>
  <c r="F26" i="59"/>
  <c r="F42" i="59" s="1"/>
  <c r="K26" i="58"/>
  <c r="K42" i="58" s="1"/>
  <c r="AK22" i="3"/>
  <c r="M22" i="58"/>
  <c r="AK22" i="57"/>
  <c r="I26" i="58"/>
  <c r="I42" i="58" s="1"/>
  <c r="AJ20" i="6"/>
  <c r="AK20" i="6" s="1"/>
  <c r="G26" i="58"/>
  <c r="G42" i="58" s="1"/>
  <c r="AK19" i="4"/>
  <c r="AI19" i="54"/>
  <c r="AK19" i="5"/>
  <c r="AK22" i="58"/>
  <c r="C26" i="54"/>
  <c r="K22" i="54"/>
  <c r="H26" i="59"/>
  <c r="H42" i="59" s="1"/>
  <c r="AJ17" i="6"/>
  <c r="AK17" i="6" s="1"/>
  <c r="M14" i="6"/>
  <c r="H42" i="56"/>
  <c r="AK16" i="58"/>
  <c r="AJ12" i="6"/>
  <c r="AK12" i="6" s="1"/>
  <c r="N27" i="53"/>
  <c r="D42" i="56"/>
  <c r="AJ11" i="6"/>
  <c r="AK11" i="6" s="1"/>
  <c r="M26" i="3"/>
  <c r="M45" i="3" s="1"/>
  <c r="N29" i="53"/>
  <c r="F27" i="33"/>
  <c r="F29" i="33" s="1"/>
  <c r="C29" i="53"/>
  <c r="D27" i="53"/>
  <c r="I44" i="56"/>
  <c r="H42" i="58"/>
  <c r="L26" i="58"/>
  <c r="L42" i="58" s="1"/>
  <c r="L26" i="5"/>
  <c r="L45" i="5" s="1"/>
  <c r="AK8" i="5"/>
  <c r="K8" i="56"/>
  <c r="M16" i="59"/>
  <c r="I27" i="53"/>
  <c r="J27" i="53"/>
  <c r="I29" i="31"/>
  <c r="I29" i="53" s="1"/>
  <c r="AJ9" i="58"/>
  <c r="AJ26" i="58" s="1"/>
  <c r="L26" i="57"/>
  <c r="L42" i="57" s="1"/>
  <c r="AK7" i="4"/>
  <c r="AK7" i="5"/>
  <c r="AI7" i="54"/>
  <c r="H45" i="3"/>
  <c r="E31" i="33" s="1"/>
  <c r="AK9" i="58"/>
  <c r="M7" i="53"/>
  <c r="F27" i="34"/>
  <c r="F29" i="34" s="1"/>
  <c r="J29" i="53"/>
  <c r="G44" i="56"/>
  <c r="E26" i="54"/>
  <c r="K26" i="5"/>
  <c r="E45" i="5"/>
  <c r="M9" i="4"/>
  <c r="AK6" i="4"/>
  <c r="K9" i="54"/>
  <c r="C27" i="53"/>
  <c r="AJ9" i="57"/>
  <c r="AJ26" i="57" s="1"/>
  <c r="E42" i="56"/>
  <c r="M9" i="5"/>
  <c r="M5" i="6"/>
  <c r="M9" i="58"/>
  <c r="AI40" i="4"/>
  <c r="H7" i="37"/>
  <c r="H7" i="41" s="1"/>
  <c r="F7" i="41"/>
  <c r="V28" i="6"/>
  <c r="W28" i="6" s="1"/>
  <c r="V41" i="3"/>
  <c r="W41" i="5" s="1"/>
  <c r="U28" i="54"/>
  <c r="W28" i="4"/>
  <c r="W28" i="5"/>
  <c r="M25" i="33"/>
  <c r="H25" i="53"/>
  <c r="H15" i="35"/>
  <c r="F20" i="35"/>
  <c r="F22" i="35" s="1"/>
  <c r="F13" i="28"/>
  <c r="Y41" i="57"/>
  <c r="Y42" i="57" s="1"/>
  <c r="E26" i="57"/>
  <c r="E42" i="57" s="1"/>
  <c r="AH41" i="3"/>
  <c r="J26" i="54"/>
  <c r="J45" i="54" s="1"/>
  <c r="Y31" i="54"/>
  <c r="AJ9" i="59"/>
  <c r="G11" i="28"/>
  <c r="AK14" i="4"/>
  <c r="M7" i="37"/>
  <c r="O6" i="37"/>
  <c r="O7" i="37" s="1"/>
  <c r="F7" i="45"/>
  <c r="F20" i="42"/>
  <c r="H20" i="42" s="1"/>
  <c r="H7" i="42"/>
  <c r="H7" i="45" s="1"/>
  <c r="AK33" i="58"/>
  <c r="L26" i="3"/>
  <c r="AJ26" i="5"/>
  <c r="B22" i="40"/>
  <c r="B20" i="41"/>
  <c r="B22" i="41" s="1"/>
  <c r="M10" i="38"/>
  <c r="M10" i="41" s="1"/>
  <c r="O8" i="38"/>
  <c r="O10" i="38" s="1"/>
  <c r="H6" i="45"/>
  <c r="M6" i="42"/>
  <c r="O8" i="43"/>
  <c r="M8" i="45"/>
  <c r="M10" i="43"/>
  <c r="M10" i="45" s="1"/>
  <c r="H8" i="41"/>
  <c r="H8" i="46" s="1"/>
  <c r="M15" i="35"/>
  <c r="D13" i="28"/>
  <c r="M8" i="41"/>
  <c r="M8" i="46" s="1"/>
  <c r="AB41" i="59"/>
  <c r="AB42" i="59" s="1"/>
  <c r="H10" i="38"/>
  <c r="H10" i="41" s="1"/>
  <c r="F10" i="41"/>
  <c r="F10" i="46" s="1"/>
  <c r="AI14" i="54"/>
  <c r="M13" i="40"/>
  <c r="H13" i="41"/>
  <c r="AK14" i="5"/>
  <c r="F26" i="53"/>
  <c r="C28" i="28"/>
  <c r="H6" i="41"/>
  <c r="O24" i="31"/>
  <c r="O24" i="53" s="1"/>
  <c r="M24" i="53"/>
  <c r="O22" i="31"/>
  <c r="O22" i="53" s="1"/>
  <c r="M19" i="53"/>
  <c r="O19" i="31"/>
  <c r="O19" i="53" s="1"/>
  <c r="O14" i="31"/>
  <c r="O14" i="53" s="1"/>
  <c r="M14" i="53"/>
  <c r="K29" i="31"/>
  <c r="K29" i="53" s="1"/>
  <c r="K27" i="53"/>
  <c r="D29" i="53"/>
  <c r="O6" i="31"/>
  <c r="O6" i="53" s="1"/>
  <c r="M6" i="53"/>
  <c r="P41" i="59"/>
  <c r="P42" i="59" s="1"/>
  <c r="L16" i="59"/>
  <c r="L9" i="59"/>
  <c r="AK36" i="58"/>
  <c r="AK36" i="59"/>
  <c r="AJ38" i="59"/>
  <c r="Z40" i="59"/>
  <c r="AJ33" i="59"/>
  <c r="Z36" i="59"/>
  <c r="L25" i="59"/>
  <c r="AJ23" i="59"/>
  <c r="AJ25" i="59" s="1"/>
  <c r="AJ16" i="59"/>
  <c r="X41" i="54"/>
  <c r="X45" i="54" s="1"/>
  <c r="AH28" i="54"/>
  <c r="AI28" i="54" s="1"/>
  <c r="Y28" i="54"/>
  <c r="J26" i="56"/>
  <c r="E44" i="56"/>
  <c r="J41" i="56"/>
  <c r="C42" i="56"/>
  <c r="F44" i="56"/>
  <c r="AI40" i="5"/>
  <c r="AJ40" i="5"/>
  <c r="AJ36" i="5"/>
  <c r="AJ31" i="5"/>
  <c r="AK31" i="5" s="1"/>
  <c r="AA31" i="5"/>
  <c r="Z41" i="5"/>
  <c r="Z45" i="5" s="1"/>
  <c r="E26" i="4"/>
  <c r="D26" i="6"/>
  <c r="E26" i="6" s="1"/>
  <c r="AJ40" i="4"/>
  <c r="AD45" i="4"/>
  <c r="AE41" i="4"/>
  <c r="S41" i="4"/>
  <c r="M23" i="6"/>
  <c r="M22" i="4"/>
  <c r="AJ19" i="6"/>
  <c r="AK19" i="6" s="1"/>
  <c r="L16" i="6"/>
  <c r="M16" i="6" s="1"/>
  <c r="AJ26" i="4"/>
  <c r="I26" i="4"/>
  <c r="F26" i="6"/>
  <c r="G26" i="6" s="1"/>
  <c r="L26" i="4"/>
  <c r="L45" i="4" s="1"/>
  <c r="AK17" i="4"/>
  <c r="M22" i="5"/>
  <c r="G26" i="57"/>
  <c r="G42" i="57" s="1"/>
  <c r="AI17" i="54"/>
  <c r="K17" i="56"/>
  <c r="I26" i="57"/>
  <c r="I42" i="57" s="1"/>
  <c r="G26" i="59"/>
  <c r="G42" i="59" s="1"/>
  <c r="M22" i="57"/>
  <c r="AE36" i="6"/>
  <c r="AD41" i="6"/>
  <c r="O17" i="43"/>
  <c r="O19" i="43" s="1"/>
  <c r="M19" i="43"/>
  <c r="M20" i="43" s="1"/>
  <c r="AK24" i="4"/>
  <c r="AI24" i="54"/>
  <c r="AK24" i="5"/>
  <c r="K24" i="56"/>
  <c r="M14" i="39"/>
  <c r="H14" i="41"/>
  <c r="H14" i="46" s="1"/>
  <c r="X28" i="59"/>
  <c r="X41" i="59" s="1"/>
  <c r="X42" i="59" s="1"/>
  <c r="M13" i="44"/>
  <c r="H13" i="45"/>
  <c r="G22" i="35"/>
  <c r="G20" i="41"/>
  <c r="O16" i="37"/>
  <c r="O19" i="37" s="1"/>
  <c r="M19" i="37"/>
  <c r="H23" i="34"/>
  <c r="F23" i="53"/>
  <c r="H8" i="53"/>
  <c r="O19" i="42"/>
  <c r="E27" i="53"/>
  <c r="E29" i="31"/>
  <c r="E29" i="53" s="1"/>
  <c r="F27" i="31"/>
  <c r="AJ28" i="4"/>
  <c r="Z41" i="4"/>
  <c r="Z45" i="4" s="1"/>
  <c r="AA28" i="4"/>
  <c r="O12" i="45"/>
  <c r="O15" i="42"/>
  <c r="I26" i="5"/>
  <c r="AA29" i="6"/>
  <c r="AK36" i="57"/>
  <c r="U41" i="57"/>
  <c r="U42" i="57" s="1"/>
  <c r="AG40" i="54"/>
  <c r="AF41" i="59"/>
  <c r="AF42" i="59" s="1"/>
  <c r="D26" i="59"/>
  <c r="D42" i="59" s="1"/>
  <c r="AH22" i="54"/>
  <c r="AI20" i="54"/>
  <c r="G20" i="45"/>
  <c r="N22" i="38"/>
  <c r="N20" i="41"/>
  <c r="E22" i="37"/>
  <c r="E20" i="41"/>
  <c r="P28" i="6"/>
  <c r="O28" i="54"/>
  <c r="Q28" i="5"/>
  <c r="Q28" i="4"/>
  <c r="M17" i="38"/>
  <c r="H17" i="41"/>
  <c r="H17" i="46" s="1"/>
  <c r="M16" i="36"/>
  <c r="H16" i="41"/>
  <c r="H16" i="32"/>
  <c r="F17" i="53"/>
  <c r="AI11" i="54"/>
  <c r="AH16" i="54"/>
  <c r="H10" i="45"/>
  <c r="L22" i="35"/>
  <c r="L20" i="41"/>
  <c r="H19" i="44"/>
  <c r="H19" i="45" s="1"/>
  <c r="F19" i="45"/>
  <c r="E26" i="5"/>
  <c r="M21" i="33"/>
  <c r="H21" i="53"/>
  <c r="I22" i="35"/>
  <c r="I20" i="41"/>
  <c r="P41" i="3"/>
  <c r="M17" i="45"/>
  <c r="O15" i="33"/>
  <c r="O15" i="53" s="1"/>
  <c r="M15" i="53"/>
  <c r="J20" i="41"/>
  <c r="R28" i="58"/>
  <c r="R41" i="58" s="1"/>
  <c r="R42" i="58" s="1"/>
  <c r="C22" i="38"/>
  <c r="C20" i="41"/>
  <c r="L27" i="53"/>
  <c r="L29" i="34"/>
  <c r="L29" i="53" s="1"/>
  <c r="Y28" i="5"/>
  <c r="Y28" i="4"/>
  <c r="W28" i="54"/>
  <c r="X28" i="6"/>
  <c r="X41" i="3"/>
  <c r="Y41" i="4" s="1"/>
  <c r="M12" i="40"/>
  <c r="H12" i="41"/>
  <c r="H12" i="46" s="1"/>
  <c r="M16" i="44"/>
  <c r="H16" i="45"/>
  <c r="K22" i="35"/>
  <c r="K20" i="41"/>
  <c r="AK16" i="59"/>
  <c r="AJ17" i="59"/>
  <c r="AJ22" i="59" s="1"/>
  <c r="L22" i="59"/>
  <c r="O28" i="4"/>
  <c r="O28" i="5"/>
  <c r="M28" i="54"/>
  <c r="N28" i="6"/>
  <c r="N41" i="6" s="1"/>
  <c r="H19" i="36"/>
  <c r="F20" i="36"/>
  <c r="F19" i="41"/>
  <c r="H26" i="53"/>
  <c r="M26" i="31"/>
  <c r="G26" i="5"/>
  <c r="M16" i="58"/>
  <c r="AA40" i="58"/>
  <c r="AI37" i="54"/>
  <c r="R28" i="59"/>
  <c r="R41" i="59" s="1"/>
  <c r="R42" i="59" s="1"/>
  <c r="AH36" i="59"/>
  <c r="AH41" i="59" s="1"/>
  <c r="AH42" i="59" s="1"/>
  <c r="AH41" i="58"/>
  <c r="AH42" i="58" s="1"/>
  <c r="H15" i="44"/>
  <c r="H15" i="45" s="1"/>
  <c r="F20" i="44"/>
  <c r="F15" i="45"/>
  <c r="AG36" i="54"/>
  <c r="AI36" i="4"/>
  <c r="AI36" i="5"/>
  <c r="G29" i="34"/>
  <c r="G29" i="53" s="1"/>
  <c r="G27" i="53"/>
  <c r="T41" i="3"/>
  <c r="S41" i="54" s="1"/>
  <c r="T28" i="6"/>
  <c r="U28" i="6" s="1"/>
  <c r="S28" i="54"/>
  <c r="U28" i="4"/>
  <c r="U28" i="5"/>
  <c r="H15" i="40"/>
  <c r="F20" i="40"/>
  <c r="H19" i="37"/>
  <c r="F20" i="37"/>
  <c r="B28" i="32"/>
  <c r="B29" i="53" s="1"/>
  <c r="F26" i="32"/>
  <c r="B27" i="53"/>
  <c r="D22" i="37"/>
  <c r="D20" i="41"/>
  <c r="H10" i="32"/>
  <c r="F10" i="53"/>
  <c r="J19" i="46"/>
  <c r="O18" i="33"/>
  <c r="O18" i="53" s="1"/>
  <c r="M18" i="53"/>
  <c r="H15" i="39"/>
  <c r="F20" i="39"/>
  <c r="F15" i="41"/>
  <c r="AI39" i="6"/>
  <c r="AH40" i="6"/>
  <c r="AI40" i="6" s="1"/>
  <c r="AC41" i="4"/>
  <c r="AC41" i="5"/>
  <c r="AB45" i="3"/>
  <c r="E22" i="42"/>
  <c r="AA41" i="54"/>
  <c r="AC41" i="6"/>
  <c r="E22" i="44"/>
  <c r="AG41" i="5"/>
  <c r="AE41" i="54"/>
  <c r="AG41" i="4"/>
  <c r="AF45" i="3"/>
  <c r="AI32" i="6"/>
  <c r="AH36" i="6"/>
  <c r="AG36" i="6"/>
  <c r="AF41" i="6"/>
  <c r="AJ32" i="6"/>
  <c r="AK32" i="6" s="1"/>
  <c r="Z40" i="6"/>
  <c r="AA40" i="6" s="1"/>
  <c r="AA37" i="6"/>
  <c r="AJ37" i="6"/>
  <c r="AA40" i="57"/>
  <c r="AK37" i="57"/>
  <c r="AK40" i="57" s="1"/>
  <c r="B18" i="47"/>
  <c r="AK39" i="5"/>
  <c r="AK39" i="4"/>
  <c r="K39" i="56"/>
  <c r="AI39" i="54"/>
  <c r="T41" i="6"/>
  <c r="AJ40" i="3"/>
  <c r="AA38" i="6"/>
  <c r="AJ38" i="6"/>
  <c r="AK38" i="6" s="1"/>
  <c r="AJ39" i="6"/>
  <c r="AK39" i="6" s="1"/>
  <c r="AA39" i="6"/>
  <c r="AA36" i="5"/>
  <c r="AA36" i="4"/>
  <c r="Y36" i="54"/>
  <c r="Z41" i="3"/>
  <c r="AI34" i="54"/>
  <c r="AK34" i="5"/>
  <c r="AK34" i="4"/>
  <c r="K34" i="56"/>
  <c r="B13" i="47"/>
  <c r="AJ35" i="6"/>
  <c r="AK35" i="6" s="1"/>
  <c r="AA35" i="6"/>
  <c r="V41" i="6"/>
  <c r="W36" i="6"/>
  <c r="AJ36" i="3"/>
  <c r="Z36" i="6"/>
  <c r="AA36" i="6" s="1"/>
  <c r="Z31" i="6"/>
  <c r="O31" i="6"/>
  <c r="K31" i="56"/>
  <c r="B10" i="47"/>
  <c r="AK31" i="4"/>
  <c r="AI31" i="54"/>
  <c r="R41" i="6"/>
  <c r="S31" i="6"/>
  <c r="O41" i="4"/>
  <c r="M41" i="54"/>
  <c r="N45" i="3"/>
  <c r="O45" i="4" s="1"/>
  <c r="O41" i="5"/>
  <c r="R45" i="3"/>
  <c r="S41" i="5"/>
  <c r="Q41" i="54"/>
  <c r="M25" i="57"/>
  <c r="M25" i="59"/>
  <c r="AK23" i="59"/>
  <c r="AK25" i="59" s="1"/>
  <c r="AK23" i="4"/>
  <c r="K23" i="56"/>
  <c r="AJ25" i="3"/>
  <c r="K25" i="56" s="1"/>
  <c r="AK23" i="5"/>
  <c r="AK25" i="5" s="1"/>
  <c r="AI23" i="54"/>
  <c r="G26" i="4"/>
  <c r="M24" i="6"/>
  <c r="AJ24" i="6"/>
  <c r="M21" i="6"/>
  <c r="AJ21" i="6"/>
  <c r="AK21" i="6" s="1"/>
  <c r="F45" i="3"/>
  <c r="E45" i="54" s="1"/>
  <c r="AJ18" i="6"/>
  <c r="AK18" i="6" s="1"/>
  <c r="M18" i="6"/>
  <c r="L22" i="6"/>
  <c r="M22" i="6" s="1"/>
  <c r="M22" i="59"/>
  <c r="AK17" i="59"/>
  <c r="AK22" i="59" s="1"/>
  <c r="J26" i="6"/>
  <c r="I26" i="54"/>
  <c r="J45" i="3"/>
  <c r="K26" i="4"/>
  <c r="AK13" i="5"/>
  <c r="AJ16" i="3"/>
  <c r="AI13" i="54"/>
  <c r="AK13" i="4"/>
  <c r="K13" i="56"/>
  <c r="AK11" i="57"/>
  <c r="AK16" i="57" s="1"/>
  <c r="M16" i="57"/>
  <c r="E31" i="31"/>
  <c r="E45" i="4"/>
  <c r="C45" i="54"/>
  <c r="K16" i="54"/>
  <c r="M16" i="4"/>
  <c r="M16" i="5"/>
  <c r="AJ15" i="6"/>
  <c r="AK15" i="6" s="1"/>
  <c r="M15" i="6"/>
  <c r="AK13" i="6"/>
  <c r="AK5" i="59"/>
  <c r="AK9" i="59" s="1"/>
  <c r="M9" i="59"/>
  <c r="AJ8" i="6"/>
  <c r="AK8" i="6" s="1"/>
  <c r="M8" i="6"/>
  <c r="M7" i="6"/>
  <c r="AJ7" i="6"/>
  <c r="AK7" i="6" s="1"/>
  <c r="L9" i="6"/>
  <c r="K5" i="56"/>
  <c r="AK5" i="4"/>
  <c r="AI5" i="54"/>
  <c r="AK5" i="5"/>
  <c r="AJ9" i="3"/>
  <c r="H26" i="6"/>
  <c r="I9" i="6"/>
  <c r="AK5" i="6"/>
  <c r="AK5" i="57"/>
  <c r="AK9" i="57" s="1"/>
  <c r="M9" i="57"/>
  <c r="AK22" i="5" l="1"/>
  <c r="C29" i="28"/>
  <c r="D23" i="28" s="1"/>
  <c r="M10" i="46"/>
  <c r="M20" i="35"/>
  <c r="M22" i="35" s="1"/>
  <c r="D11" i="47"/>
  <c r="AK26" i="3"/>
  <c r="I45" i="4"/>
  <c r="AK41" i="3"/>
  <c r="O20" i="35"/>
  <c r="O22" i="35" s="1"/>
  <c r="A24" i="35" s="1"/>
  <c r="AA41" i="59"/>
  <c r="AA42" i="59" s="1"/>
  <c r="K22" i="56"/>
  <c r="G45" i="54"/>
  <c r="I45" i="5"/>
  <c r="G13" i="28"/>
  <c r="A16" i="28" s="1"/>
  <c r="O6" i="41"/>
  <c r="O20" i="37"/>
  <c r="O22" i="37" s="1"/>
  <c r="A24" i="37" s="1"/>
  <c r="M20" i="37"/>
  <c r="M22" i="37" s="1"/>
  <c r="M7" i="41"/>
  <c r="D18" i="47"/>
  <c r="AJ41" i="57"/>
  <c r="AJ42" i="57" s="1"/>
  <c r="AK41" i="58"/>
  <c r="AK41" i="59"/>
  <c r="AJ41" i="58"/>
  <c r="AJ42" i="58" s="1"/>
  <c r="AE45" i="4"/>
  <c r="AJ40" i="59"/>
  <c r="AA41" i="58"/>
  <c r="AA42" i="58" s="1"/>
  <c r="H20" i="38"/>
  <c r="H22" i="38" s="1"/>
  <c r="AA41" i="57"/>
  <c r="AA42" i="57" s="1"/>
  <c r="F15" i="46"/>
  <c r="H20" i="35"/>
  <c r="H22" i="35" s="1"/>
  <c r="AI41" i="5"/>
  <c r="AH45" i="3"/>
  <c r="AI45" i="4" s="1"/>
  <c r="AK45" i="3"/>
  <c r="E22" i="45"/>
  <c r="AC45" i="54"/>
  <c r="AE45" i="5"/>
  <c r="AI41" i="4"/>
  <c r="AG41" i="54"/>
  <c r="H7" i="46"/>
  <c r="H19" i="41"/>
  <c r="H19" i="46" s="1"/>
  <c r="H13" i="46"/>
  <c r="H15" i="41"/>
  <c r="H15" i="46" s="1"/>
  <c r="AK25" i="4"/>
  <c r="AI25" i="54"/>
  <c r="M25" i="6"/>
  <c r="AJ22" i="6"/>
  <c r="AK22" i="6" s="1"/>
  <c r="H27" i="34"/>
  <c r="H29" i="34" s="1"/>
  <c r="AK26" i="58"/>
  <c r="M26" i="5"/>
  <c r="H27" i="33"/>
  <c r="H29" i="33" s="1"/>
  <c r="L26" i="59"/>
  <c r="L42" i="59" s="1"/>
  <c r="M26" i="58"/>
  <c r="M42" i="58" s="1"/>
  <c r="J42" i="56"/>
  <c r="L45" i="3"/>
  <c r="E31" i="53" s="1"/>
  <c r="K26" i="54"/>
  <c r="D45" i="6"/>
  <c r="E45" i="6" s="1"/>
  <c r="H16" i="46"/>
  <c r="O6" i="42"/>
  <c r="M6" i="45"/>
  <c r="M6" i="46" s="1"/>
  <c r="M7" i="42"/>
  <c r="O10" i="41"/>
  <c r="O25" i="33"/>
  <c r="O25" i="53" s="1"/>
  <c r="M25" i="53"/>
  <c r="V45" i="3"/>
  <c r="W41" i="4"/>
  <c r="U41" i="54"/>
  <c r="F7" i="46"/>
  <c r="O20" i="43"/>
  <c r="A22" i="43" s="1"/>
  <c r="N22" i="43" s="1"/>
  <c r="O8" i="45"/>
  <c r="O10" i="43"/>
  <c r="O10" i="45" s="1"/>
  <c r="H6" i="46"/>
  <c r="O8" i="41"/>
  <c r="O8" i="46" s="1"/>
  <c r="C8" i="47" s="1"/>
  <c r="D8" i="47" s="1"/>
  <c r="B20" i="46"/>
  <c r="B6" i="48" s="1"/>
  <c r="H10" i="46"/>
  <c r="O13" i="40"/>
  <c r="O13" i="41" s="1"/>
  <c r="M13" i="41"/>
  <c r="Z41" i="59"/>
  <c r="Z42" i="59" s="1"/>
  <c r="AK41" i="57"/>
  <c r="AJ36" i="59"/>
  <c r="AJ26" i="59"/>
  <c r="AH41" i="54"/>
  <c r="J44" i="56"/>
  <c r="AJ41" i="5"/>
  <c r="AJ45" i="5" s="1"/>
  <c r="F45" i="6"/>
  <c r="G45" i="6" s="1"/>
  <c r="M26" i="4"/>
  <c r="AJ9" i="6"/>
  <c r="AK9" i="6" s="1"/>
  <c r="M26" i="57"/>
  <c r="M42" i="57" s="1"/>
  <c r="G45" i="5"/>
  <c r="AE41" i="6"/>
  <c r="AD45" i="6"/>
  <c r="AE45" i="6" s="1"/>
  <c r="F28" i="32"/>
  <c r="H26" i="32"/>
  <c r="M16" i="32"/>
  <c r="H17" i="53"/>
  <c r="Q28" i="6"/>
  <c r="P41" i="6"/>
  <c r="AK26" i="57"/>
  <c r="D22" i="41"/>
  <c r="D20" i="46"/>
  <c r="D6" i="48" s="1"/>
  <c r="O12" i="40"/>
  <c r="M15" i="40"/>
  <c r="M20" i="40" s="1"/>
  <c r="M22" i="40" s="1"/>
  <c r="M12" i="41"/>
  <c r="M12" i="46" s="1"/>
  <c r="C20" i="46"/>
  <c r="C6" i="48" s="1"/>
  <c r="C22" i="41"/>
  <c r="O21" i="33"/>
  <c r="O21" i="53" s="1"/>
  <c r="M21" i="53"/>
  <c r="E20" i="46"/>
  <c r="E6" i="48" s="1"/>
  <c r="E22" i="41"/>
  <c r="N20" i="46"/>
  <c r="N6" i="48" s="1"/>
  <c r="N22" i="41"/>
  <c r="AK28" i="4"/>
  <c r="AJ41" i="4"/>
  <c r="AJ45" i="4" s="1"/>
  <c r="G22" i="41"/>
  <c r="G20" i="46"/>
  <c r="G6" i="48" s="1"/>
  <c r="AJ16" i="6"/>
  <c r="AK16" i="6" s="1"/>
  <c r="M10" i="32"/>
  <c r="H10" i="53"/>
  <c r="H20" i="40"/>
  <c r="H22" i="40" s="1"/>
  <c r="F22" i="40"/>
  <c r="O17" i="38"/>
  <c r="M19" i="38"/>
  <c r="M20" i="38" s="1"/>
  <c r="M22" i="38" s="1"/>
  <c r="M17" i="41"/>
  <c r="M17" i="46" s="1"/>
  <c r="AH26" i="54"/>
  <c r="AI22" i="54"/>
  <c r="M13" i="45"/>
  <c r="O13" i="44"/>
  <c r="M15" i="44"/>
  <c r="E30" i="32"/>
  <c r="F22" i="39"/>
  <c r="H20" i="39"/>
  <c r="H22" i="39" s="1"/>
  <c r="F22" i="37"/>
  <c r="H20" i="37"/>
  <c r="H22" i="37" s="1"/>
  <c r="T45" i="3"/>
  <c r="U41" i="5"/>
  <c r="U41" i="4"/>
  <c r="M26" i="53"/>
  <c r="O26" i="31"/>
  <c r="O26" i="53" s="1"/>
  <c r="F19" i="46"/>
  <c r="K20" i="46"/>
  <c r="K6" i="48" s="1"/>
  <c r="K22" i="41"/>
  <c r="Y41" i="5"/>
  <c r="X45" i="3"/>
  <c r="W41" i="54"/>
  <c r="J22" i="41"/>
  <c r="J20" i="46"/>
  <c r="J6" i="48" s="1"/>
  <c r="Q41" i="4"/>
  <c r="Q41" i="5"/>
  <c r="P45" i="3"/>
  <c r="O41" i="54"/>
  <c r="I22" i="41"/>
  <c r="I20" i="46"/>
  <c r="I6" i="48" s="1"/>
  <c r="L22" i="41"/>
  <c r="L20" i="46"/>
  <c r="L6" i="48" s="1"/>
  <c r="O16" i="36"/>
  <c r="M16" i="41"/>
  <c r="M19" i="36"/>
  <c r="F29" i="31"/>
  <c r="H27" i="31"/>
  <c r="F27" i="53"/>
  <c r="M23" i="34"/>
  <c r="H23" i="53"/>
  <c r="O7" i="41"/>
  <c r="H20" i="44"/>
  <c r="H20" i="45" s="1"/>
  <c r="F20" i="45"/>
  <c r="H20" i="36"/>
  <c r="H22" i="36" s="1"/>
  <c r="F22" i="36"/>
  <c r="F20" i="41"/>
  <c r="O28" i="6"/>
  <c r="Z28" i="6"/>
  <c r="Z41" i="6" s="1"/>
  <c r="M16" i="45"/>
  <c r="O16" i="44"/>
  <c r="M19" i="44"/>
  <c r="M19" i="45" s="1"/>
  <c r="Y28" i="6"/>
  <c r="X41" i="6"/>
  <c r="O17" i="45"/>
  <c r="O8" i="31"/>
  <c r="O8" i="53" s="1"/>
  <c r="M8" i="53"/>
  <c r="O14" i="39"/>
  <c r="M15" i="39"/>
  <c r="M14" i="41"/>
  <c r="M14" i="46" s="1"/>
  <c r="AG41" i="6"/>
  <c r="AF45" i="6"/>
  <c r="AG45" i="6" s="1"/>
  <c r="AG45" i="4"/>
  <c r="AG45" i="5"/>
  <c r="AE45" i="54"/>
  <c r="AC45" i="5"/>
  <c r="AC45" i="4"/>
  <c r="AA45" i="54"/>
  <c r="AC45" i="6"/>
  <c r="AH41" i="6"/>
  <c r="AI36" i="6"/>
  <c r="T45" i="6"/>
  <c r="U41" i="6"/>
  <c r="AK37" i="6"/>
  <c r="AJ40" i="6"/>
  <c r="AK40" i="6" s="1"/>
  <c r="AK40" i="4"/>
  <c r="B19" i="47"/>
  <c r="AI40" i="54"/>
  <c r="AK40" i="5"/>
  <c r="K40" i="56"/>
  <c r="AK36" i="5"/>
  <c r="K36" i="56"/>
  <c r="AI36" i="54"/>
  <c r="B15" i="47"/>
  <c r="AK36" i="4"/>
  <c r="AJ41" i="3"/>
  <c r="B20" i="47" s="1"/>
  <c r="Y41" i="54"/>
  <c r="AA41" i="4"/>
  <c r="Z45" i="3"/>
  <c r="AA41" i="5"/>
  <c r="W41" i="6"/>
  <c r="V45" i="6"/>
  <c r="E24" i="35"/>
  <c r="AJ36" i="6"/>
  <c r="AK36" i="6" s="1"/>
  <c r="O45" i="5"/>
  <c r="M45" i="54"/>
  <c r="R45" i="6"/>
  <c r="S45" i="6" s="1"/>
  <c r="S41" i="6"/>
  <c r="AJ31" i="6"/>
  <c r="AA31" i="6"/>
  <c r="E24" i="37"/>
  <c r="S45" i="4"/>
  <c r="S45" i="5"/>
  <c r="Q45" i="54"/>
  <c r="N45" i="6"/>
  <c r="O45" i="6" s="1"/>
  <c r="O41" i="6"/>
  <c r="AK24" i="6"/>
  <c r="AK25" i="6" s="1"/>
  <c r="AJ25" i="6"/>
  <c r="G45" i="4"/>
  <c r="K26" i="6"/>
  <c r="J45" i="6"/>
  <c r="K45" i="6" s="1"/>
  <c r="M26" i="59"/>
  <c r="M42" i="59" s="1"/>
  <c r="AK26" i="59"/>
  <c r="I45" i="54"/>
  <c r="E31" i="34"/>
  <c r="K45" i="5"/>
  <c r="K45" i="4"/>
  <c r="AI16" i="54"/>
  <c r="AK16" i="5"/>
  <c r="K16" i="56"/>
  <c r="AK16" i="4"/>
  <c r="H45" i="6"/>
  <c r="I45" i="6" s="1"/>
  <c r="I26" i="6"/>
  <c r="AJ26" i="3"/>
  <c r="AK9" i="5"/>
  <c r="AK9" i="4"/>
  <c r="K9" i="56"/>
  <c r="AI9" i="54"/>
  <c r="M9" i="6"/>
  <c r="L26" i="6"/>
  <c r="D25" i="28" l="1"/>
  <c r="D28" i="28"/>
  <c r="D29" i="28"/>
  <c r="D26" i="28"/>
  <c r="D24" i="28"/>
  <c r="D27" i="28"/>
  <c r="AK42" i="58"/>
  <c r="N24" i="37"/>
  <c r="AK42" i="59"/>
  <c r="AI45" i="5"/>
  <c r="AJ41" i="59"/>
  <c r="AJ42" i="59" s="1"/>
  <c r="AK42" i="57"/>
  <c r="M13" i="46"/>
  <c r="W45" i="6"/>
  <c r="AH45" i="54"/>
  <c r="AG45" i="54"/>
  <c r="U45" i="6"/>
  <c r="M27" i="34"/>
  <c r="O27" i="34" s="1"/>
  <c r="O29" i="34" s="1"/>
  <c r="A31" i="34" s="1"/>
  <c r="N31" i="34" s="1"/>
  <c r="M27" i="33"/>
  <c r="M29" i="33" s="1"/>
  <c r="M45" i="4"/>
  <c r="AJ26" i="6"/>
  <c r="AK26" i="6" s="1"/>
  <c r="K45" i="54"/>
  <c r="M45" i="5"/>
  <c r="O10" i="46"/>
  <c r="C10" i="47" s="1"/>
  <c r="D10" i="47" s="1"/>
  <c r="E24" i="39"/>
  <c r="U45" i="54"/>
  <c r="W45" i="4"/>
  <c r="W45" i="5"/>
  <c r="M7" i="45"/>
  <c r="M7" i="46" s="1"/>
  <c r="M20" i="42"/>
  <c r="O7" i="42"/>
  <c r="O6" i="45"/>
  <c r="O6" i="46" s="1"/>
  <c r="C6" i="47" s="1"/>
  <c r="D6" i="47" s="1"/>
  <c r="E22" i="46"/>
  <c r="F22" i="41"/>
  <c r="F20" i="46"/>
  <c r="F6" i="48" s="1"/>
  <c r="O23" i="34"/>
  <c r="O23" i="53" s="1"/>
  <c r="M23" i="53"/>
  <c r="H29" i="31"/>
  <c r="H27" i="53"/>
  <c r="M27" i="31"/>
  <c r="M20" i="36"/>
  <c r="M19" i="41"/>
  <c r="M19" i="46" s="1"/>
  <c r="O10" i="32"/>
  <c r="O10" i="53" s="1"/>
  <c r="M10" i="53"/>
  <c r="F29" i="53"/>
  <c r="M16" i="46"/>
  <c r="U45" i="5"/>
  <c r="U45" i="4"/>
  <c r="E24" i="38"/>
  <c r="S45" i="54"/>
  <c r="O19" i="38"/>
  <c r="O20" i="38" s="1"/>
  <c r="O22" i="38" s="1"/>
  <c r="A24" i="38" s="1"/>
  <c r="O17" i="41"/>
  <c r="O17" i="46" s="1"/>
  <c r="C17" i="47" s="1"/>
  <c r="D17" i="47" s="1"/>
  <c r="P45" i="6"/>
  <c r="Q45" i="6" s="1"/>
  <c r="Q41" i="6"/>
  <c r="M20" i="39"/>
  <c r="M22" i="39" s="1"/>
  <c r="M15" i="41"/>
  <c r="H20" i="41"/>
  <c r="O19" i="36"/>
  <c r="O16" i="41"/>
  <c r="M20" i="44"/>
  <c r="M15" i="45"/>
  <c r="Y41" i="6"/>
  <c r="X45" i="6"/>
  <c r="Y45" i="6" s="1"/>
  <c r="E24" i="36"/>
  <c r="O45" i="54"/>
  <c r="Q45" i="5"/>
  <c r="Q45" i="4"/>
  <c r="Y45" i="5"/>
  <c r="Y45" i="4"/>
  <c r="E24" i="40"/>
  <c r="W45" i="54"/>
  <c r="O15" i="40"/>
  <c r="O20" i="40" s="1"/>
  <c r="O22" i="40" s="1"/>
  <c r="A24" i="40" s="1"/>
  <c r="O12" i="41"/>
  <c r="O12" i="46" s="1"/>
  <c r="C12" i="47" s="1"/>
  <c r="D12" i="47" s="1"/>
  <c r="O16" i="32"/>
  <c r="O17" i="53" s="1"/>
  <c r="M17" i="53"/>
  <c r="N24" i="35"/>
  <c r="O15" i="39"/>
  <c r="O14" i="41"/>
  <c r="O14" i="46" s="1"/>
  <c r="C14" i="47" s="1"/>
  <c r="D14" i="47" s="1"/>
  <c r="O19" i="44"/>
  <c r="O19" i="45" s="1"/>
  <c r="O16" i="45"/>
  <c r="AA28" i="6"/>
  <c r="AJ28" i="6"/>
  <c r="AK28" i="6" s="1"/>
  <c r="O13" i="45"/>
  <c r="O13" i="46" s="1"/>
  <c r="C13" i="47" s="1"/>
  <c r="D13" i="47" s="1"/>
  <c r="O15" i="44"/>
  <c r="H28" i="32"/>
  <c r="M26" i="32"/>
  <c r="K41" i="56"/>
  <c r="AK41" i="4"/>
  <c r="AI41" i="6"/>
  <c r="AH45" i="6"/>
  <c r="AI45" i="6" s="1"/>
  <c r="AK41" i="5"/>
  <c r="AI41" i="54"/>
  <c r="Y45" i="54"/>
  <c r="AA45" i="4"/>
  <c r="AA45" i="5"/>
  <c r="E24" i="41"/>
  <c r="AK31" i="6"/>
  <c r="AA41" i="6"/>
  <c r="Z45" i="6"/>
  <c r="AA45" i="6" s="1"/>
  <c r="L45" i="6"/>
  <c r="M45" i="6" s="1"/>
  <c r="M26" i="6"/>
  <c r="AJ45" i="3"/>
  <c r="AK26" i="5"/>
  <c r="AI26" i="54"/>
  <c r="K42" i="56"/>
  <c r="AK26" i="4"/>
  <c r="K26" i="56"/>
  <c r="AJ41" i="6" l="1"/>
  <c r="AK41" i="6" s="1"/>
  <c r="M20" i="45"/>
  <c r="M29" i="34"/>
  <c r="O27" i="33"/>
  <c r="O29" i="33" s="1"/>
  <c r="A31" i="33" s="1"/>
  <c r="N31" i="33" s="1"/>
  <c r="O7" i="45"/>
  <c r="O7" i="46" s="1"/>
  <c r="C7" i="47" s="1"/>
  <c r="D7" i="47" s="1"/>
  <c r="O20" i="42"/>
  <c r="A22" i="42" s="1"/>
  <c r="N22" i="42" s="1"/>
  <c r="O16" i="46"/>
  <c r="C16" i="47" s="1"/>
  <c r="D16" i="47" s="1"/>
  <c r="M15" i="46"/>
  <c r="O27" i="31"/>
  <c r="M29" i="31"/>
  <c r="M27" i="53"/>
  <c r="O20" i="39"/>
  <c r="O22" i="39" s="1"/>
  <c r="A24" i="39" s="1"/>
  <c r="N24" i="39" s="1"/>
  <c r="O15" i="41"/>
  <c r="O26" i="32"/>
  <c r="O28" i="32" s="1"/>
  <c r="A30" i="32" s="1"/>
  <c r="N30" i="32" s="1"/>
  <c r="M28" i="32"/>
  <c r="N24" i="40"/>
  <c r="O19" i="41"/>
  <c r="O19" i="46" s="1"/>
  <c r="C19" i="47" s="1"/>
  <c r="D19" i="47" s="1"/>
  <c r="O20" i="36"/>
  <c r="O20" i="44"/>
  <c r="O15" i="45"/>
  <c r="N24" i="38"/>
  <c r="H29" i="53"/>
  <c r="H22" i="41"/>
  <c r="H20" i="46"/>
  <c r="H6" i="48" s="1"/>
  <c r="M22" i="36"/>
  <c r="M20" i="41"/>
  <c r="AK45" i="5"/>
  <c r="K44" i="56"/>
  <c r="AK45" i="4"/>
  <c r="AI45" i="54"/>
  <c r="AJ45" i="6" l="1"/>
  <c r="AK45" i="6" s="1"/>
  <c r="O15" i="46"/>
  <c r="C15" i="47" s="1"/>
  <c r="D15" i="47" s="1"/>
  <c r="O22" i="36"/>
  <c r="A24" i="36" s="1"/>
  <c r="N24" i="36" s="1"/>
  <c r="O20" i="41"/>
  <c r="M29" i="53"/>
  <c r="A22" i="44"/>
  <c r="N22" i="44" s="1"/>
  <c r="O20" i="45"/>
  <c r="A22" i="45" s="1"/>
  <c r="N22" i="45" s="1"/>
  <c r="M22" i="41"/>
  <c r="M20" i="46"/>
  <c r="M6" i="48" s="1"/>
  <c r="O29" i="31"/>
  <c r="O27" i="53"/>
  <c r="C20" i="47" l="1"/>
  <c r="D20" i="47" s="1"/>
  <c r="O29" i="53"/>
  <c r="A31" i="53" s="1"/>
  <c r="N31" i="53" s="1"/>
  <c r="A31" i="31"/>
  <c r="N31" i="31" s="1"/>
  <c r="O20" i="46"/>
  <c r="O22" i="41"/>
  <c r="A24" i="41" s="1"/>
  <c r="N24" i="41" s="1"/>
  <c r="O6" i="48" l="1"/>
  <c r="A22" i="46"/>
  <c r="N22" i="46" s="1"/>
  <c r="O7" i="48" l="1"/>
  <c r="B7" i="48"/>
  <c r="L7" i="48"/>
  <c r="D7" i="48"/>
  <c r="K7" i="48"/>
  <c r="C7" i="48"/>
  <c r="G7" i="48"/>
  <c r="J7" i="48"/>
  <c r="I7" i="48"/>
  <c r="E7" i="48"/>
  <c r="N7" i="48"/>
  <c r="F7" i="48"/>
  <c r="H7" i="48"/>
  <c r="M7" i="48"/>
</calcChain>
</file>

<file path=xl/sharedStrings.xml><?xml version="1.0" encoding="utf-8"?>
<sst xmlns="http://schemas.openxmlformats.org/spreadsheetml/2006/main" count="1956" uniqueCount="336">
  <si>
    <t>Schüler/innen (gesamt) und gebildete Klassen an den Schulen der Stadt Moers</t>
  </si>
  <si>
    <t>Ausländische Schüler/innen an den Schulen der Stadt Moers</t>
  </si>
  <si>
    <t>Türkische Schüler/innen an den Schulen der Stadt Moers</t>
  </si>
  <si>
    <t>Deutsche Schüler/innen an den Schulen der Stadt Moers</t>
  </si>
  <si>
    <t>Schulstatistik</t>
  </si>
  <si>
    <t>1.SJ</t>
  </si>
  <si>
    <t>2.SJ</t>
  </si>
  <si>
    <t>3.SJ</t>
  </si>
  <si>
    <t>4.SJ</t>
  </si>
  <si>
    <t>GS</t>
  </si>
  <si>
    <t>5.SJ</t>
  </si>
  <si>
    <t>6.SJ</t>
  </si>
  <si>
    <t>7.SJ</t>
  </si>
  <si>
    <t>8.SJ</t>
  </si>
  <si>
    <t>9.SJ</t>
  </si>
  <si>
    <t>10.SJ</t>
  </si>
  <si>
    <t>11.SJ</t>
  </si>
  <si>
    <t>12.SJ</t>
  </si>
  <si>
    <t>13.SJ</t>
  </si>
  <si>
    <t>gesamt</t>
  </si>
  <si>
    <t>Sch.</t>
  </si>
  <si>
    <t>Kl.</t>
  </si>
  <si>
    <t>GGS Gebr.-Grimm</t>
  </si>
  <si>
    <t>GGS Hülsdonk</t>
  </si>
  <si>
    <t>GGS A.-Reichwein</t>
  </si>
  <si>
    <t>Mitte - gesamt</t>
  </si>
  <si>
    <t>GGS Willi-Fährmann</t>
  </si>
  <si>
    <t>KGS St. Marien</t>
  </si>
  <si>
    <t>GGS Uhrschule</t>
  </si>
  <si>
    <t>GGS Eichendorff</t>
  </si>
  <si>
    <t>Ost - gesamt</t>
  </si>
  <si>
    <t>Nord - gesamt</t>
  </si>
  <si>
    <t>GGS Dorsterfeld</t>
  </si>
  <si>
    <t>GGS Waldschule</t>
  </si>
  <si>
    <t>Süd - gesamt</t>
  </si>
  <si>
    <t>Primarstufe ges.</t>
  </si>
  <si>
    <t>GHS J.-v.-Liebig</t>
  </si>
  <si>
    <t>GHS Repelen</t>
  </si>
  <si>
    <t>GHS - gesamt</t>
  </si>
  <si>
    <t>GY Grafschafter</t>
  </si>
  <si>
    <t>GY Adolfinum</t>
  </si>
  <si>
    <t>GY Filder Benden</t>
  </si>
  <si>
    <t>GY Rheinkamp</t>
  </si>
  <si>
    <t>GY - gesamt</t>
  </si>
  <si>
    <t>IGS G.-Scholl</t>
  </si>
  <si>
    <t>IGS H.-Runge</t>
  </si>
  <si>
    <t>IGS - gesamt</t>
  </si>
  <si>
    <t>Weiterf. Schulen ges.</t>
  </si>
  <si>
    <t>Schulen insgesamt</t>
  </si>
  <si>
    <t>abs</t>
  </si>
  <si>
    <t>%</t>
  </si>
  <si>
    <t>GGS Regenbogen</t>
  </si>
  <si>
    <t>IGS A.-Frank</t>
  </si>
  <si>
    <t xml:space="preserve"> </t>
  </si>
  <si>
    <t>Anteil in %</t>
  </si>
  <si>
    <t>RS-gesamt</t>
  </si>
  <si>
    <t>RS H. Pattberg</t>
  </si>
  <si>
    <t xml:space="preserve">  </t>
  </si>
  <si>
    <t>GGS Astrid-Lindgren</t>
  </si>
  <si>
    <t>Nicht-Migranten = Schüler/innen mit nur deutscher Staatsangehörigkeit (keine ausländische Staatsangehörigkeit vorhanden)</t>
  </si>
  <si>
    <t>Sek.I</t>
  </si>
  <si>
    <t>Sek.II</t>
  </si>
  <si>
    <t>Kl./Gr</t>
  </si>
  <si>
    <t>Hauptschule</t>
  </si>
  <si>
    <t>Realschule</t>
  </si>
  <si>
    <t>Gymnasium</t>
  </si>
  <si>
    <t>Gesamtschule</t>
  </si>
  <si>
    <t>Sonstige</t>
  </si>
  <si>
    <t>abs.</t>
  </si>
  <si>
    <t>Schulformwechsler/innen (gesamt) aus</t>
  </si>
  <si>
    <t>Realschulen, Gymnasien und Gesamtschulen</t>
  </si>
  <si>
    <t>in Hauptschulen</t>
  </si>
  <si>
    <t>aufnehmende Schule</t>
  </si>
  <si>
    <t>abgebende Schule</t>
  </si>
  <si>
    <t xml:space="preserve">Aufnahme in Klasse </t>
  </si>
  <si>
    <t>RS</t>
  </si>
  <si>
    <t>GY</t>
  </si>
  <si>
    <t>IGS</t>
  </si>
  <si>
    <t>Hauptschulen, Gymnasien und Gesamtschulen</t>
  </si>
  <si>
    <t>in Realschulen</t>
  </si>
  <si>
    <t>Repelen</t>
  </si>
  <si>
    <t>RS - gesamt</t>
  </si>
  <si>
    <t>HS</t>
  </si>
  <si>
    <t>Hauptschulen, Realschulen und Gesamtschulen</t>
  </si>
  <si>
    <t>in Gymnasien</t>
  </si>
  <si>
    <t>Hauptschulen, Realschulen und Gymnasien</t>
  </si>
  <si>
    <t>in Gesamtschulen</t>
  </si>
  <si>
    <t>IGS - G.-Scholl</t>
  </si>
  <si>
    <t>IGS A.- Frank</t>
  </si>
  <si>
    <t xml:space="preserve">Übersicht derSchulformwechsler/innen </t>
  </si>
  <si>
    <t>Gesamt</t>
  </si>
  <si>
    <t>X</t>
  </si>
  <si>
    <t xml:space="preserve"> Schüler haben die Schulform in der Sekundarstufe 1 gewechselt</t>
  </si>
  <si>
    <t>Aufnahme in Kl.</t>
  </si>
  <si>
    <t>5. Schuljahr</t>
  </si>
  <si>
    <t>6. Schuljahr</t>
  </si>
  <si>
    <t>7. Schuljahr</t>
  </si>
  <si>
    <t>8. Schuljahr</t>
  </si>
  <si>
    <t>9. Schuljahr</t>
  </si>
  <si>
    <t>10. Schuljahr</t>
  </si>
  <si>
    <t>im 5. Schuljahrgang</t>
  </si>
  <si>
    <t>5. SJ</t>
  </si>
  <si>
    <t>DU-Homberg</t>
  </si>
  <si>
    <t>DU-Baerl</t>
  </si>
  <si>
    <t>DU-Rheinhausen</t>
  </si>
  <si>
    <t>DU-R.-Kaldenhausen</t>
  </si>
  <si>
    <t>DU-linksrh. ges.</t>
  </si>
  <si>
    <t>DU - rechtsrh. ges.</t>
  </si>
  <si>
    <t>DU - insgesamt</t>
  </si>
  <si>
    <t>Neukirchen Vlyun</t>
  </si>
  <si>
    <t>Kamp-Lintfort</t>
  </si>
  <si>
    <t>Rheinberg</t>
  </si>
  <si>
    <t>Krefeld</t>
  </si>
  <si>
    <t>Nachbarstädte ges.</t>
  </si>
  <si>
    <t>sonstige Städte</t>
  </si>
  <si>
    <t>Auswärtige insgesamt</t>
  </si>
  <si>
    <t>Schüler von insgesamt</t>
  </si>
  <si>
    <t>Schüler:</t>
  </si>
  <si>
    <t>Dies entspricht einen auswärtigen Anteil von</t>
  </si>
  <si>
    <t>im 6. Schuljahrgang</t>
  </si>
  <si>
    <t>6. SJ</t>
  </si>
  <si>
    <t>im 7. Schuljahrgang</t>
  </si>
  <si>
    <t>7. SJ</t>
  </si>
  <si>
    <t>im 8. Schuljahrgang</t>
  </si>
  <si>
    <t>8. SJ</t>
  </si>
  <si>
    <t>RS H.Pattberg</t>
  </si>
  <si>
    <t>im 9. Schuljahrgang</t>
  </si>
  <si>
    <t>9. SJ</t>
  </si>
  <si>
    <t>im 10. Schuljahrgang</t>
  </si>
  <si>
    <t>10. SJ</t>
  </si>
  <si>
    <t>5. bis 10. SJ</t>
  </si>
  <si>
    <t>im 11. Schuljahrgang</t>
  </si>
  <si>
    <t>11. SJ</t>
  </si>
  <si>
    <t>im 12. Schuljahrgang</t>
  </si>
  <si>
    <t>12. SJ</t>
  </si>
  <si>
    <t>im 13. Schuljahrgang</t>
  </si>
  <si>
    <t>13. SJ</t>
  </si>
  <si>
    <t>in der Sekundarstufe II</t>
  </si>
  <si>
    <t>11. bis 13. SJ</t>
  </si>
  <si>
    <t>insgesamt (Sek.I und Sek.II)</t>
  </si>
  <si>
    <t>5. bis 13. SJ</t>
  </si>
  <si>
    <t xml:space="preserve"> IGS H.-Runge</t>
  </si>
  <si>
    <t>Schüler gesamt</t>
  </si>
  <si>
    <t>davon Auswärtige</t>
  </si>
  <si>
    <t>Auswärtige in %</t>
  </si>
  <si>
    <t>Schulformwechsler/innen (gesamt) aus Realschule, Gymnasium und Gesamtschulen in Hauptschulen</t>
  </si>
  <si>
    <t>Schulformwechsler/innen (gesamt) aus Hauptschulen, Gymnasien und Gesamtschulen in Realschulen</t>
  </si>
  <si>
    <t>Schulformwechsler/innen (gesamt) aus Hauptschulen, Realschulen und Gesamtschulen in Gymnasien</t>
  </si>
  <si>
    <t>Schulformwechsler/innen (gesamt) aus Hauptschulen, Realschulen und Gymnasien in Gesamtschulen</t>
  </si>
  <si>
    <t>Übersicht: Schulformwechsler in der Sekundarstufe (gesamt)</t>
  </si>
  <si>
    <t>Auswärtige Schüler/innen in weiterführende Schulen im 5. Schuljahrgang</t>
  </si>
  <si>
    <t>Auswärtige Schüler/innen in weiterführende Schulen im 6. Schuljahrgang</t>
  </si>
  <si>
    <t>Auswärtige Schüler/innen in weiterführende Schulen im 7. Schuljahrgang</t>
  </si>
  <si>
    <t>Auswärtige Schüler/innen in weiterführende Schulen im 8. Schuljahrgang</t>
  </si>
  <si>
    <t>Auswärtige Schüler/innen in weiterführende Schulen im 9. Schuljahrgang</t>
  </si>
  <si>
    <t>Auswärtige Schüler/innen in weiterführende Schulen im 10. Schuljahrgang</t>
  </si>
  <si>
    <t>Auswärtige Schüler/innen in weiterführende Schulen in der Sekundarstufe 1</t>
  </si>
  <si>
    <t>Auswärtige Schüler/innen in weiterführende Schulen im 11. Schuljahr</t>
  </si>
  <si>
    <t>Auswärtige Schüler/innen in weiterführende Schulen im 12. Schuljahr</t>
  </si>
  <si>
    <t>Auswärtige Schüler/innen in weiterführende Schulen im 13. Schuljahr</t>
  </si>
  <si>
    <t>Auswärtige Schüler/innen in weiterführende Schulen in der Sekundarstufe 2</t>
  </si>
  <si>
    <t>Auswärtige Schüler/innen in weiterführende Schulen insgesamt (Klasse 5 bis 13)</t>
  </si>
  <si>
    <t>Anteil auswärtiger Schüler/innen in weiterführenden Schulen insgesamt (Klasse 5 bis 13)</t>
  </si>
  <si>
    <t>Herkunft auswärtiger Schüler/innen in weiterführenden Schulen insgesamt (Klasse 5 bis 13)</t>
  </si>
  <si>
    <t>1 - 4</t>
  </si>
  <si>
    <t>5</t>
  </si>
  <si>
    <t>1 - 5</t>
  </si>
  <si>
    <t>6</t>
  </si>
  <si>
    <t>7</t>
  </si>
  <si>
    <t>8</t>
  </si>
  <si>
    <t>9</t>
  </si>
  <si>
    <t>10</t>
  </si>
  <si>
    <t>1 - 10</t>
  </si>
  <si>
    <t>Auswärtige Schüler</t>
  </si>
  <si>
    <t>in der Sekundarstufe I</t>
  </si>
  <si>
    <t>A.-Schweitzer/Abt. Lernen</t>
  </si>
  <si>
    <t>A.-Schweitzer/Abt. Sprache</t>
  </si>
  <si>
    <t>RS Am Jungbornpark</t>
  </si>
  <si>
    <t>Förderschule, gesamt</t>
  </si>
  <si>
    <t>,</t>
  </si>
  <si>
    <t>RS am Jungbornpark</t>
  </si>
  <si>
    <t>6-9</t>
  </si>
  <si>
    <t>Nachbarstädte gesamt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</si>
  <si>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</si>
  <si>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 SJ</t>
  </si>
  <si>
    <t>GGS Gebr. Grimm</t>
  </si>
  <si>
    <t>GGS A.Reichwein</t>
  </si>
  <si>
    <t>KGS St Marien</t>
  </si>
  <si>
    <t>GGS Astrid - Lindgren</t>
  </si>
  <si>
    <t>Grundschulen gesamt</t>
  </si>
  <si>
    <t>2.  SJ</t>
  </si>
  <si>
    <t>3.  SJ</t>
  </si>
  <si>
    <t>4.  SJ</t>
  </si>
  <si>
    <t>Nachbarstädte ges</t>
  </si>
  <si>
    <t>1. bis 4. SJ</t>
  </si>
  <si>
    <t>Auswärtige Schüler/innen in Grundschulen im 1. Schuljahr</t>
  </si>
  <si>
    <t>Auswärtige Schüler/innen in Grundschulen im 2. Schuljahr</t>
  </si>
  <si>
    <t>Auswärtige Schüler/innen in Grundschulen im 3. Schuljahr</t>
  </si>
  <si>
    <t>Auswärtige Schüler/innen in Grundschulen im 4. Schuljahr</t>
  </si>
  <si>
    <t>Auswärtige Schüler/innen in Grundschulen</t>
  </si>
  <si>
    <t>Anlage 1a'!A1</t>
  </si>
  <si>
    <t>Anlage 1b'!A1</t>
  </si>
  <si>
    <t>Anlage 1c'!A1</t>
  </si>
  <si>
    <t>Anlage 1d'!A1</t>
  </si>
  <si>
    <t>zurück zur Übersicht!</t>
  </si>
  <si>
    <t xml:space="preserve">Eingangs-klasse * </t>
  </si>
  <si>
    <t>Albert-Schweitzer</t>
  </si>
  <si>
    <t>Primarstufe gesamt</t>
  </si>
  <si>
    <t>Gr</t>
  </si>
  <si>
    <t>Anlage 1.2</t>
  </si>
  <si>
    <t>Anlage 1.1a</t>
  </si>
  <si>
    <t>Anlage 1.1b</t>
  </si>
  <si>
    <t>Anlage 1.1c</t>
  </si>
  <si>
    <t>Anlage 1.1d</t>
  </si>
  <si>
    <t>Anlage 5.1'!A1</t>
  </si>
  <si>
    <t>Anlage 1.2'!A1</t>
  </si>
  <si>
    <t>Anlage 5.2'!A1</t>
  </si>
  <si>
    <t>Anlage 5.3'!A1</t>
  </si>
  <si>
    <t>Anlage 5.4'!A1</t>
  </si>
  <si>
    <t>Anlage 5.5'!A1</t>
  </si>
  <si>
    <t>Anlage 5.1</t>
  </si>
  <si>
    <t>Anlage 5.2</t>
  </si>
  <si>
    <t>Anlage 5.3</t>
  </si>
  <si>
    <t>Anlage 5.4</t>
  </si>
  <si>
    <t>Anlage 5.5</t>
  </si>
  <si>
    <t>Anlage 6.1'!A1</t>
  </si>
  <si>
    <t>Anlage 6.2'!A1</t>
  </si>
  <si>
    <t>Anlage 6.3'!A1</t>
  </si>
  <si>
    <t>Anlage 6.4'!A1</t>
  </si>
  <si>
    <t>Anlage 6.1</t>
  </si>
  <si>
    <t>Anlage 6.2</t>
  </si>
  <si>
    <t>Anlage 6.3</t>
  </si>
  <si>
    <t>Anlage 6.4</t>
  </si>
  <si>
    <t>Anlage 6.5</t>
  </si>
  <si>
    <t>Anlage 6.6</t>
  </si>
  <si>
    <t>Anlage 6.7</t>
  </si>
  <si>
    <t>Anlage 6.8</t>
  </si>
  <si>
    <t>Anlage 6.9</t>
  </si>
  <si>
    <t>Anlage 6.10</t>
  </si>
  <si>
    <t>Anlage 6.11</t>
  </si>
  <si>
    <t>Anlage 6.12</t>
  </si>
  <si>
    <t>Anlage 6.13</t>
  </si>
  <si>
    <t>Anlage 6.14</t>
  </si>
  <si>
    <t>Anlage 6.15</t>
  </si>
  <si>
    <t>Anlage 6.16</t>
  </si>
  <si>
    <t>Anlage 6.17</t>
  </si>
  <si>
    <t>Anlage 6.18</t>
  </si>
  <si>
    <t>Anlage 6.19</t>
  </si>
  <si>
    <t>Anlage 6.5'!A1</t>
  </si>
  <si>
    <t>Anlage 6.6'!A1</t>
  </si>
  <si>
    <t>Anlage 6.7'!A1</t>
  </si>
  <si>
    <t>Anlage 6.8'!A1</t>
  </si>
  <si>
    <t>Anlage 6.9'!A1</t>
  </si>
  <si>
    <t>Anlage 6.10'!A1</t>
  </si>
  <si>
    <t>Anlage 6.11'!A1</t>
  </si>
  <si>
    <t>Anlage 6.12'!A1</t>
  </si>
  <si>
    <t>Anlage 6.13'!A1</t>
  </si>
  <si>
    <t>Anlage 6.14'!A1</t>
  </si>
  <si>
    <t>Anlage 6.15'!A1</t>
  </si>
  <si>
    <t>Anlage 6.16'!A1</t>
  </si>
  <si>
    <t>Anlage 6.17'!A1</t>
  </si>
  <si>
    <t>Anlage 6.18'!A1</t>
  </si>
  <si>
    <t>Anlage 6.19'!A1</t>
  </si>
  <si>
    <t>Förderschwerpunkt</t>
  </si>
  <si>
    <t>SB</t>
  </si>
  <si>
    <t>Summe</t>
  </si>
  <si>
    <t>Schule</t>
  </si>
  <si>
    <t>Legende:</t>
  </si>
  <si>
    <t>Lernen</t>
  </si>
  <si>
    <t>Sehen</t>
  </si>
  <si>
    <t>Sprache</t>
  </si>
  <si>
    <t>geistige Entwicklung</t>
  </si>
  <si>
    <t>emotionale / soziale Entwicklung</t>
  </si>
  <si>
    <t>körperliche / motorischen Entwicklung</t>
  </si>
  <si>
    <t>Hören / Kommunikation</t>
  </si>
  <si>
    <t>EZ</t>
  </si>
  <si>
    <t>GB</t>
  </si>
  <si>
    <t>KB</t>
  </si>
  <si>
    <t>LB</t>
  </si>
  <si>
    <t>SH</t>
  </si>
  <si>
    <t xml:space="preserve">Schüler/-innen mit nicht deutscher Verkehrssprache in der Familie an den Schulen der Stadt Moers im Schuljahr </t>
  </si>
  <si>
    <t>GH/SG</t>
  </si>
  <si>
    <t xml:space="preserve">RS H. Pattberg </t>
  </si>
  <si>
    <t xml:space="preserve">GY Rheinkamp </t>
  </si>
  <si>
    <t xml:space="preserve">IGS A.-Frank </t>
  </si>
  <si>
    <t>A.-Schweitzer</t>
  </si>
  <si>
    <t>Förderschüler an Moerser Schulen</t>
  </si>
  <si>
    <t>Anlage 2 a</t>
  </si>
  <si>
    <t>Anlage 2 a'!A1</t>
  </si>
  <si>
    <t>GGS Eick (Haupt)</t>
  </si>
  <si>
    <t>GGS Eick (Teil)</t>
  </si>
  <si>
    <t>GGS Eschenburg (Teil)</t>
  </si>
  <si>
    <t>GGS Eschenburg (Haupt)</t>
  </si>
  <si>
    <t xml:space="preserve">Primarstufe ges. </t>
  </si>
  <si>
    <t>Sekundarstufe gesamt</t>
  </si>
  <si>
    <t xml:space="preserve">IGS G.-Scholl </t>
  </si>
  <si>
    <t xml:space="preserve">IGS H.-Runge </t>
  </si>
  <si>
    <t>Regelschulen gesamt</t>
  </si>
  <si>
    <r>
      <t xml:space="preserve">Migranten = Schüler/innen mit deutscher und ausländischer Staatsangehörigkeit </t>
    </r>
    <r>
      <rPr>
        <b/>
        <u/>
        <sz val="10"/>
        <rFont val="PT Sans"/>
        <family val="2"/>
      </rPr>
      <t>und</t>
    </r>
    <r>
      <rPr>
        <b/>
        <sz val="10"/>
        <rFont val="PT Sans"/>
        <family val="2"/>
      </rPr>
      <t xml:space="preserve"> Schüler/innen mit nur ausländischer Staatsangehörigkeit</t>
    </r>
  </si>
  <si>
    <r>
      <t xml:space="preserve">Türkische Migranten =  Schüler/innen mit deutscher und türkischer Staatsangehörigkeit </t>
    </r>
    <r>
      <rPr>
        <b/>
        <u/>
        <sz val="10"/>
        <rFont val="PT Sans"/>
        <family val="2"/>
      </rPr>
      <t>und</t>
    </r>
    <r>
      <rPr>
        <b/>
        <sz val="10"/>
        <rFont val="PT Sans"/>
        <family val="2"/>
      </rPr>
      <t xml:space="preserve"> Schüler/innen mit nur türkischer Staatsangehörigkeit</t>
    </r>
  </si>
  <si>
    <t xml:space="preserve">GGS Regenbogen </t>
  </si>
  <si>
    <t>AS</t>
  </si>
  <si>
    <t>5. bis 10.SJ</t>
  </si>
  <si>
    <t>Anlage 1.1e</t>
  </si>
  <si>
    <t>Anlage 1.1f</t>
  </si>
  <si>
    <t>Anlage 1.1g</t>
  </si>
  <si>
    <t>Anlage 1e'!A1</t>
  </si>
  <si>
    <t>Anlage 1f'!A1</t>
  </si>
  <si>
    <t>Anlage 1g'!A1</t>
  </si>
  <si>
    <t>GGS Willi-Fährmann *</t>
  </si>
  <si>
    <t>RS Am Jungbornpark *</t>
  </si>
  <si>
    <t>A.-Schweitzer/Abt. Lernen **</t>
  </si>
  <si>
    <t>Seiteneinsteiger= Ausländische Kinder ohne Deutschkenntnisse, die im Rahmen der Freizügigkeit aus sonstigen EU-Staaten zugezogen sind, jedoch keinen Flüchtlingsstatus haben.</t>
  </si>
  <si>
    <t>Flüchtlingskinder an den Schulen der Stadt Moers</t>
  </si>
  <si>
    <t>Seiteneinsteiger an den Schulen der Stadt Moers</t>
  </si>
  <si>
    <t>Flüchtlingskinder und Seiteneinsteiger an den Schulen der Stadt Moers</t>
  </si>
  <si>
    <t>GGS Lindenschule (Haupt)</t>
  </si>
  <si>
    <t>GGS Lindenschule (Teil)</t>
  </si>
  <si>
    <t>Budgetkinder</t>
  </si>
  <si>
    <t>AS= Ausländische Schulen</t>
  </si>
  <si>
    <t xml:space="preserve">   aufnehmende Schule</t>
  </si>
  <si>
    <t xml:space="preserve">H.-Pattberg-RS </t>
  </si>
  <si>
    <t xml:space="preserve">Schüler/innen (gesamt) und gebildete Klassen an den Schulen der Stadt Moers im Schuljahr 2019/20 </t>
  </si>
  <si>
    <t>Migranten an den Schulen der Stadt Moers im Schuljahr 2019/20</t>
  </si>
  <si>
    <t>Türkische Migranten an den Schulen der Stadt Moers im Schuljahr 2019/20</t>
  </si>
  <si>
    <t>Nicht-Migranten an den Schulen der Stadt Moers im Schuljahr 2019/20</t>
  </si>
  <si>
    <t xml:space="preserve">Flüchtlingskinder an den Schulen der Stadt Moers im Schuljahr 2019/20 </t>
  </si>
  <si>
    <t xml:space="preserve">Seiteneinsteiger an den Schulen der Stadt Moers im Schuljahr 2019/20 </t>
  </si>
  <si>
    <t xml:space="preserve">Flüchtlingskinder und Seiteneinsteiger an den Schulen der Stadt Moers im Schuljahr 2019/20 </t>
  </si>
  <si>
    <t>Schüler/-innen mit nicht deutscher Verkehrssprache in der Familie an den Schulen der Stadt Moers im Schuljahr 2019/20</t>
  </si>
  <si>
    <t>Schüler/-innen mit Förderschwerpunkten im Schuljahr 2019/2020 an Moerser Schulen</t>
  </si>
  <si>
    <t>2019/20</t>
  </si>
  <si>
    <t>SJ 19/20</t>
  </si>
  <si>
    <t>Auswärtige Schüler/innen in der Primarstufe zum Schuljahr 2019/2020</t>
  </si>
  <si>
    <t>Auswärtige Schüler/innen in weiterführenden Schulen zum Schuljahr 2019/2020</t>
  </si>
  <si>
    <t>Schulstatistik 19/20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</si>
</sst>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"/>
    <numFmt numFmtId="166" formatCode="0.0%"/>
    <numFmt numFmtId="167" formatCode="#.0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7.5"/>
      <color indexed="12"/>
      <name val="Arial"/>
      <family val="2"/>
    </font>
    <font>
      <b/>
      <u/>
      <sz val="10"/>
      <name val="PT Sans"/>
      <family val="2"/>
    </font>
    <font>
      <sz val="10"/>
      <name val="PT Sans"/>
      <family val="2"/>
    </font>
    <font>
      <u/>
      <sz val="10"/>
      <name val="PT Sans"/>
      <family val="2"/>
    </font>
    <font>
      <u/>
      <sz val="7.5"/>
      <color indexed="12"/>
      <name val="PT Sans"/>
      <family val="2"/>
    </font>
    <font>
      <b/>
      <sz val="16"/>
      <name val="PT Sans"/>
      <family val="2"/>
    </font>
    <font>
      <sz val="12"/>
      <name val="PT Sans"/>
      <family val="2"/>
    </font>
    <font>
      <b/>
      <sz val="10"/>
      <name val="PT Sans"/>
      <family val="2"/>
    </font>
    <font>
      <sz val="11"/>
      <name val="PT Sans"/>
      <family val="2"/>
    </font>
    <font>
      <b/>
      <sz val="11"/>
      <name val="PT Sans"/>
      <family val="2"/>
    </font>
    <font>
      <b/>
      <sz val="12"/>
      <name val="PT Sans"/>
      <family val="2"/>
    </font>
    <font>
      <sz val="16"/>
      <name val="PT Sans"/>
      <family val="2"/>
    </font>
    <font>
      <b/>
      <sz val="14"/>
      <name val="PT Sans"/>
      <family val="2"/>
    </font>
    <font>
      <sz val="18"/>
      <name val="PT Sans"/>
      <family val="2"/>
    </font>
    <font>
      <sz val="9"/>
      <name val="PT Sans"/>
      <family val="2"/>
    </font>
    <font>
      <b/>
      <sz val="9"/>
      <name val="PT Sans"/>
      <family val="2"/>
    </font>
    <font>
      <u/>
      <sz val="7.5"/>
      <name val="PT Sans"/>
      <family val="2"/>
    </font>
    <font>
      <b/>
      <u/>
      <sz val="9"/>
      <name val="PT Sans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963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Alignment="1">
      <alignment horizontal="centerContinuous"/>
    </xf>
    <xf numFmtId="0" fontId="5" fillId="0" borderId="0" xfId="0" applyFont="1"/>
    <xf numFmtId="0" fontId="5" fillId="0" borderId="0" xfId="0" applyFont="1" applyProtection="1">
      <protection locked="0"/>
    </xf>
    <xf numFmtId="0" fontId="4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1" quotePrefix="1" applyFont="1" applyAlignment="1" applyProtection="1">
      <protection locked="0"/>
    </xf>
    <xf numFmtId="0" fontId="5" fillId="0" borderId="0" xfId="0" applyFont="1" applyAlignment="1">
      <alignment horizontal="left"/>
    </xf>
    <xf numFmtId="165" fontId="7" fillId="0" borderId="0" xfId="1" applyNumberFormat="1" applyFont="1" applyAlignment="1" applyProtection="1">
      <protection locked="0"/>
    </xf>
    <xf numFmtId="165" fontId="10" fillId="2" borderId="1" xfId="0" applyNumberFormat="1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centerContinuous"/>
    </xf>
    <xf numFmtId="165" fontId="5" fillId="2" borderId="3" xfId="0" applyNumberFormat="1" applyFont="1" applyFill="1" applyBorder="1" applyAlignment="1">
      <alignment horizontal="centerContinuous"/>
    </xf>
    <xf numFmtId="165" fontId="10" fillId="2" borderId="4" xfId="0" applyNumberFormat="1" applyFont="1" applyFill="1" applyBorder="1" applyAlignment="1">
      <alignment horizontal="centerContinuous"/>
    </xf>
    <xf numFmtId="165" fontId="10" fillId="2" borderId="5" xfId="0" applyNumberFormat="1" applyFont="1" applyFill="1" applyBorder="1" applyAlignment="1">
      <alignment horizontal="centerContinuous"/>
    </xf>
    <xf numFmtId="165" fontId="10" fillId="2" borderId="3" xfId="0" applyNumberFormat="1" applyFont="1" applyFill="1" applyBorder="1" applyAlignment="1">
      <alignment horizontal="centerContinuous"/>
    </xf>
    <xf numFmtId="165" fontId="10" fillId="2" borderId="6" xfId="0" applyNumberFormat="1" applyFont="1" applyFill="1" applyBorder="1" applyAlignment="1">
      <alignment horizontal="centerContinuous"/>
    </xf>
    <xf numFmtId="165" fontId="9" fillId="2" borderId="7" xfId="0" applyNumberFormat="1" applyFont="1" applyFill="1" applyBorder="1"/>
    <xf numFmtId="165" fontId="5" fillId="2" borderId="8" xfId="0" applyNumberFormat="1" applyFont="1" applyFill="1" applyBorder="1" applyAlignment="1">
      <alignment horizontal="center"/>
    </xf>
    <xf numFmtId="165" fontId="5" fillId="2" borderId="9" xfId="0" applyNumberFormat="1" applyFont="1" applyFill="1" applyBorder="1" applyAlignment="1">
      <alignment horizontal="center"/>
    </xf>
    <xf numFmtId="165" fontId="9" fillId="2" borderId="10" xfId="0" applyNumberFormat="1" applyFont="1" applyFill="1" applyBorder="1" applyAlignment="1">
      <alignment horizontal="center"/>
    </xf>
    <xf numFmtId="165" fontId="9" fillId="2" borderId="11" xfId="0" applyNumberFormat="1" applyFont="1" applyFill="1" applyBorder="1" applyAlignment="1">
      <alignment horizontal="center"/>
    </xf>
    <xf numFmtId="165" fontId="9" fillId="2" borderId="12" xfId="0" applyNumberFormat="1" applyFont="1" applyFill="1" applyBorder="1" applyAlignment="1">
      <alignment horizontal="center"/>
    </xf>
    <xf numFmtId="165" fontId="9" fillId="2" borderId="13" xfId="0" applyNumberFormat="1" applyFont="1" applyFill="1" applyBorder="1" applyAlignment="1">
      <alignment horizontal="center"/>
    </xf>
    <xf numFmtId="165" fontId="11" fillId="2" borderId="11" xfId="0" applyNumberFormat="1" applyFont="1" applyFill="1" applyBorder="1" applyAlignment="1">
      <alignment horizontal="center"/>
    </xf>
    <xf numFmtId="165" fontId="5" fillId="2" borderId="12" xfId="0" applyNumberFormat="1" applyFont="1" applyFill="1" applyBorder="1" applyAlignment="1">
      <alignment horizontal="center"/>
    </xf>
    <xf numFmtId="165" fontId="5" fillId="2" borderId="13" xfId="0" applyNumberFormat="1" applyFont="1" applyFill="1" applyBorder="1" applyAlignment="1">
      <alignment horizontal="center"/>
    </xf>
    <xf numFmtId="165" fontId="9" fillId="0" borderId="14" xfId="0" applyNumberFormat="1" applyFont="1" applyBorder="1"/>
    <xf numFmtId="165" fontId="9" fillId="0" borderId="15" xfId="0" applyNumberFormat="1" applyFont="1" applyBorder="1"/>
    <xf numFmtId="165" fontId="9" fillId="0" borderId="16" xfId="0" applyNumberFormat="1" applyFont="1" applyBorder="1"/>
    <xf numFmtId="1" fontId="11" fillId="0" borderId="17" xfId="0" applyNumberFormat="1" applyFont="1" applyBorder="1"/>
    <xf numFmtId="1" fontId="11" fillId="0" borderId="18" xfId="0" applyNumberFormat="1" applyFont="1" applyBorder="1"/>
    <xf numFmtId="1" fontId="11" fillId="3" borderId="15" xfId="0" applyNumberFormat="1" applyFont="1" applyFill="1" applyBorder="1"/>
    <xf numFmtId="1" fontId="11" fillId="3" borderId="16" xfId="0" applyNumberFormat="1" applyFont="1" applyFill="1" applyBorder="1"/>
    <xf numFmtId="165" fontId="11" fillId="0" borderId="18" xfId="0" applyNumberFormat="1" applyFont="1" applyBorder="1"/>
    <xf numFmtId="165" fontId="11" fillId="0" borderId="15" xfId="0" applyNumberFormat="1" applyFont="1" applyBorder="1"/>
    <xf numFmtId="165" fontId="11" fillId="0" borderId="16" xfId="0" applyNumberFormat="1" applyFont="1" applyBorder="1"/>
    <xf numFmtId="165" fontId="11" fillId="0" borderId="19" xfId="0" applyNumberFormat="1" applyFont="1" applyBorder="1"/>
    <xf numFmtId="165" fontId="9" fillId="0" borderId="20" xfId="0" applyNumberFormat="1" applyFont="1" applyBorder="1"/>
    <xf numFmtId="165" fontId="9" fillId="0" borderId="8" xfId="0" applyNumberFormat="1" applyFont="1" applyBorder="1"/>
    <xf numFmtId="165" fontId="9" fillId="0" borderId="21" xfId="0" applyNumberFormat="1" applyFont="1" applyBorder="1"/>
    <xf numFmtId="165" fontId="11" fillId="0" borderId="0" xfId="0" applyNumberFormat="1" applyFont="1" applyBorder="1"/>
    <xf numFmtId="1" fontId="11" fillId="0" borderId="22" xfId="0" applyNumberFormat="1" applyFont="1" applyBorder="1"/>
    <xf numFmtId="1" fontId="11" fillId="3" borderId="8" xfId="0" applyNumberFormat="1" applyFont="1" applyFill="1" applyBorder="1"/>
    <xf numFmtId="1" fontId="11" fillId="3" borderId="9" xfId="0" applyNumberFormat="1" applyFont="1" applyFill="1" applyBorder="1"/>
    <xf numFmtId="165" fontId="11" fillId="0" borderId="22" xfId="0" applyNumberFormat="1" applyFont="1" applyBorder="1"/>
    <xf numFmtId="165" fontId="11" fillId="0" borderId="8" xfId="0" applyNumberFormat="1" applyFont="1" applyBorder="1"/>
    <xf numFmtId="165" fontId="11" fillId="0" borderId="9" xfId="0" applyNumberFormat="1" applyFont="1" applyBorder="1"/>
    <xf numFmtId="165" fontId="12" fillId="0" borderId="22" xfId="0" applyNumberFormat="1" applyFont="1" applyBorder="1"/>
    <xf numFmtId="165" fontId="11" fillId="0" borderId="23" xfId="0" applyNumberFormat="1" applyFont="1" applyBorder="1"/>
    <xf numFmtId="165" fontId="13" fillId="3" borderId="7" xfId="0" applyNumberFormat="1" applyFont="1" applyFill="1" applyBorder="1"/>
    <xf numFmtId="165" fontId="13" fillId="3" borderId="24" xfId="0" applyNumberFormat="1" applyFont="1" applyFill="1" applyBorder="1"/>
    <xf numFmtId="165" fontId="13" fillId="3" borderId="25" xfId="0" applyNumberFormat="1" applyFont="1" applyFill="1" applyBorder="1"/>
    <xf numFmtId="1" fontId="12" fillId="3" borderId="26" xfId="0" applyNumberFormat="1" applyFont="1" applyFill="1" applyBorder="1"/>
    <xf numFmtId="1" fontId="12" fillId="3" borderId="27" xfId="0" applyNumberFormat="1" applyFont="1" applyFill="1" applyBorder="1"/>
    <xf numFmtId="1" fontId="12" fillId="3" borderId="24" xfId="0" applyNumberFormat="1" applyFont="1" applyFill="1" applyBorder="1"/>
    <xf numFmtId="1" fontId="12" fillId="3" borderId="28" xfId="0" applyNumberFormat="1" applyFont="1" applyFill="1" applyBorder="1"/>
    <xf numFmtId="165" fontId="12" fillId="0" borderId="27" xfId="0" applyNumberFormat="1" applyFont="1" applyBorder="1"/>
    <xf numFmtId="165" fontId="12" fillId="0" borderId="24" xfId="0" applyNumberFormat="1" applyFont="1" applyBorder="1"/>
    <xf numFmtId="165" fontId="12" fillId="0" borderId="28" xfId="0" applyNumberFormat="1" applyFont="1" applyBorder="1"/>
    <xf numFmtId="165" fontId="12" fillId="0" borderId="29" xfId="0" applyNumberFormat="1" applyFont="1" applyBorder="1"/>
    <xf numFmtId="165" fontId="9" fillId="0" borderId="30" xfId="0" applyNumberFormat="1" applyFont="1" applyBorder="1"/>
    <xf numFmtId="165" fontId="9" fillId="0" borderId="4" xfId="0" applyNumberFormat="1" applyFont="1" applyBorder="1"/>
    <xf numFmtId="165" fontId="9" fillId="0" borderId="31" xfId="0" applyNumberFormat="1" applyFont="1" applyBorder="1"/>
    <xf numFmtId="1" fontId="11" fillId="0" borderId="32" xfId="0" applyNumberFormat="1" applyFont="1" applyBorder="1"/>
    <xf numFmtId="1" fontId="11" fillId="0" borderId="33" xfId="0" applyNumberFormat="1" applyFont="1" applyBorder="1"/>
    <xf numFmtId="1" fontId="11" fillId="3" borderId="34" xfId="0" applyNumberFormat="1" applyFont="1" applyFill="1" applyBorder="1"/>
    <xf numFmtId="1" fontId="11" fillId="3" borderId="35" xfId="0" applyNumberFormat="1" applyFont="1" applyFill="1" applyBorder="1"/>
    <xf numFmtId="165" fontId="11" fillId="0" borderId="33" xfId="0" applyNumberFormat="1" applyFont="1" applyBorder="1"/>
    <xf numFmtId="165" fontId="11" fillId="0" borderId="34" xfId="0" applyNumberFormat="1" applyFont="1" applyBorder="1"/>
    <xf numFmtId="165" fontId="11" fillId="0" borderId="35" xfId="0" applyNumberFormat="1" applyFont="1" applyBorder="1"/>
    <xf numFmtId="165" fontId="11" fillId="0" borderId="36" xfId="0" applyNumberFormat="1" applyFont="1" applyBorder="1"/>
    <xf numFmtId="165" fontId="9" fillId="0" borderId="37" xfId="0" applyNumberFormat="1" applyFont="1" applyBorder="1"/>
    <xf numFmtId="165" fontId="9" fillId="0" borderId="12" xfId="0" applyNumberFormat="1" applyFont="1" applyBorder="1"/>
    <xf numFmtId="1" fontId="11" fillId="0" borderId="38" xfId="0" applyNumberFormat="1" applyFont="1" applyBorder="1"/>
    <xf numFmtId="1" fontId="12" fillId="3" borderId="39" xfId="0" applyNumberFormat="1" applyFont="1" applyFill="1" applyBorder="1"/>
    <xf numFmtId="1" fontId="12" fillId="3" borderId="25" xfId="0" applyNumberFormat="1" applyFont="1" applyFill="1" applyBorder="1"/>
    <xf numFmtId="165" fontId="12" fillId="3" borderId="26" xfId="0" applyNumberFormat="1" applyFont="1" applyFill="1" applyBorder="1"/>
    <xf numFmtId="165" fontId="12" fillId="3" borderId="39" xfId="0" applyNumberFormat="1" applyFont="1" applyFill="1" applyBorder="1"/>
    <xf numFmtId="165" fontId="12" fillId="3" borderId="24" xfId="0" applyNumberFormat="1" applyFont="1" applyFill="1" applyBorder="1"/>
    <xf numFmtId="165" fontId="12" fillId="3" borderId="25" xfId="0" applyNumberFormat="1" applyFont="1" applyFill="1" applyBorder="1"/>
    <xf numFmtId="165" fontId="13" fillId="2" borderId="7" xfId="0" applyNumberFormat="1" applyFont="1" applyFill="1" applyBorder="1"/>
    <xf numFmtId="165" fontId="13" fillId="2" borderId="24" xfId="0" applyNumberFormat="1" applyFont="1" applyFill="1" applyBorder="1"/>
    <xf numFmtId="165" fontId="13" fillId="2" borderId="25" xfId="0" applyNumberFormat="1" applyFont="1" applyFill="1" applyBorder="1"/>
    <xf numFmtId="1" fontId="12" fillId="2" borderId="26" xfId="0" applyNumberFormat="1" applyFont="1" applyFill="1" applyBorder="1"/>
    <xf numFmtId="1" fontId="12" fillId="2" borderId="27" xfId="0" applyNumberFormat="1" applyFont="1" applyFill="1" applyBorder="1"/>
    <xf numFmtId="1" fontId="12" fillId="2" borderId="29" xfId="0" applyNumberFormat="1" applyFont="1" applyFill="1" applyBorder="1"/>
    <xf numFmtId="1" fontId="12" fillId="2" borderId="24" xfId="0" applyNumberFormat="1" applyFont="1" applyFill="1" applyBorder="1"/>
    <xf numFmtId="1" fontId="12" fillId="2" borderId="28" xfId="0" applyNumberFormat="1" applyFont="1" applyFill="1" applyBorder="1"/>
    <xf numFmtId="165" fontId="12" fillId="2" borderId="26" xfId="0" applyNumberFormat="1" applyFont="1" applyFill="1" applyBorder="1"/>
    <xf numFmtId="165" fontId="12" fillId="2" borderId="27" xfId="0" applyNumberFormat="1" applyFont="1" applyFill="1" applyBorder="1"/>
    <xf numFmtId="165" fontId="12" fillId="2" borderId="29" xfId="0" applyNumberFormat="1" applyFont="1" applyFill="1" applyBorder="1"/>
    <xf numFmtId="165" fontId="12" fillId="2" borderId="24" xfId="0" applyNumberFormat="1" applyFont="1" applyFill="1" applyBorder="1"/>
    <xf numFmtId="165" fontId="12" fillId="2" borderId="28" xfId="0" applyNumberFormat="1" applyFont="1" applyFill="1" applyBorder="1"/>
    <xf numFmtId="165" fontId="9" fillId="0" borderId="24" xfId="0" applyNumberFormat="1" applyFont="1" applyBorder="1"/>
    <xf numFmtId="165" fontId="9" fillId="0" borderId="5" xfId="0" applyNumberFormat="1" applyFont="1" applyBorder="1"/>
    <xf numFmtId="165" fontId="11" fillId="0" borderId="17" xfId="0" applyNumberFormat="1" applyFont="1" applyBorder="1"/>
    <xf numFmtId="1" fontId="11" fillId="3" borderId="4" xfId="0" applyNumberFormat="1" applyFont="1" applyFill="1" applyBorder="1"/>
    <xf numFmtId="1" fontId="11" fillId="3" borderId="5" xfId="0" applyNumberFormat="1" applyFont="1" applyFill="1" applyBorder="1"/>
    <xf numFmtId="165" fontId="11" fillId="0" borderId="4" xfId="0" applyNumberFormat="1" applyFont="1" applyBorder="1"/>
    <xf numFmtId="165" fontId="11" fillId="0" borderId="5" xfId="0" applyNumberFormat="1" applyFont="1" applyBorder="1"/>
    <xf numFmtId="1" fontId="13" fillId="3" borderId="7" xfId="0" applyNumberFormat="1" applyFont="1" applyFill="1" applyBorder="1"/>
    <xf numFmtId="1" fontId="13" fillId="0" borderId="24" xfId="0" applyNumberFormat="1" applyFont="1" applyFill="1" applyBorder="1"/>
    <xf numFmtId="1" fontId="13" fillId="0" borderId="28" xfId="0" applyNumberFormat="1" applyFont="1" applyFill="1" applyBorder="1"/>
    <xf numFmtId="1" fontId="12" fillId="3" borderId="29" xfId="0" applyNumberFormat="1" applyFont="1" applyFill="1" applyBorder="1"/>
    <xf numFmtId="165" fontId="9" fillId="0" borderId="34" xfId="0" applyNumberFormat="1" applyFont="1" applyFill="1" applyBorder="1"/>
    <xf numFmtId="165" fontId="9" fillId="0" borderId="35" xfId="0" applyNumberFormat="1" applyFont="1" applyFill="1" applyBorder="1"/>
    <xf numFmtId="165" fontId="11" fillId="0" borderId="32" xfId="0" applyNumberFormat="1" applyFont="1" applyBorder="1"/>
    <xf numFmtId="1" fontId="10" fillId="0" borderId="0" xfId="0" applyNumberFormat="1" applyFont="1" applyBorder="1"/>
    <xf numFmtId="1" fontId="11" fillId="4" borderId="33" xfId="0" applyNumberFormat="1" applyFont="1" applyFill="1" applyBorder="1"/>
    <xf numFmtId="1" fontId="11" fillId="3" borderId="32" xfId="0" applyNumberFormat="1" applyFont="1" applyFill="1" applyBorder="1"/>
    <xf numFmtId="165" fontId="9" fillId="0" borderId="15" xfId="0" applyNumberFormat="1" applyFont="1" applyFill="1" applyBorder="1"/>
    <xf numFmtId="165" fontId="9" fillId="0" borderId="16" xfId="0" applyNumberFormat="1" applyFont="1" applyFill="1" applyBorder="1"/>
    <xf numFmtId="1" fontId="11" fillId="3" borderId="12" xfId="0" applyNumberFormat="1" applyFont="1" applyFill="1" applyBorder="1"/>
    <xf numFmtId="1" fontId="11" fillId="3" borderId="13" xfId="0" applyNumberFormat="1" applyFont="1" applyFill="1" applyBorder="1"/>
    <xf numFmtId="165" fontId="13" fillId="0" borderId="24" xfId="0" applyNumberFormat="1" applyFont="1" applyFill="1" applyBorder="1"/>
    <xf numFmtId="165" fontId="13" fillId="0" borderId="28" xfId="0" applyNumberFormat="1" applyFont="1" applyFill="1" applyBorder="1"/>
    <xf numFmtId="1" fontId="11" fillId="0" borderId="18" xfId="0" applyNumberFormat="1" applyFont="1" applyFill="1" applyBorder="1"/>
    <xf numFmtId="165" fontId="13" fillId="2" borderId="28" xfId="0" applyNumberFormat="1" applyFont="1" applyFill="1" applyBorder="1"/>
    <xf numFmtId="165" fontId="12" fillId="2" borderId="40" xfId="0" applyNumberFormat="1" applyFont="1" applyFill="1" applyBorder="1"/>
    <xf numFmtId="0" fontId="10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10" fillId="0" borderId="0" xfId="0" applyFont="1"/>
    <xf numFmtId="0" fontId="8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164" fontId="14" fillId="0" borderId="0" xfId="0" applyNumberFormat="1" applyFont="1" applyAlignment="1">
      <alignment horizontal="centerContinuous"/>
    </xf>
    <xf numFmtId="164" fontId="14" fillId="0" borderId="0" xfId="0" applyNumberFormat="1" applyFont="1" applyAlignment="1"/>
    <xf numFmtId="0" fontId="14" fillId="0" borderId="0" xfId="0" applyFont="1" applyAlignment="1"/>
    <xf numFmtId="164" fontId="8" fillId="0" borderId="0" xfId="0" applyNumberFormat="1" applyFont="1" applyAlignment="1">
      <alignment horizontal="right"/>
    </xf>
    <xf numFmtId="0" fontId="14" fillId="0" borderId="0" xfId="0" applyFont="1"/>
    <xf numFmtId="164" fontId="5" fillId="0" borderId="0" xfId="0" applyNumberFormat="1" applyFont="1"/>
    <xf numFmtId="0" fontId="5" fillId="2" borderId="1" xfId="0" applyFont="1" applyFill="1" applyBorder="1"/>
    <xf numFmtId="0" fontId="5" fillId="2" borderId="2" xfId="0" applyFont="1" applyFill="1" applyBorder="1" applyAlignment="1">
      <alignment horizontal="centerContinuous"/>
    </xf>
    <xf numFmtId="164" fontId="5" fillId="2" borderId="3" xfId="0" applyNumberFormat="1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10" fillId="2" borderId="4" xfId="0" applyFont="1" applyFill="1" applyBorder="1" applyAlignment="1">
      <alignment horizontal="centerContinuous"/>
    </xf>
    <xf numFmtId="164" fontId="10" fillId="2" borderId="5" xfId="0" applyNumberFormat="1" applyFont="1" applyFill="1" applyBorder="1" applyAlignment="1">
      <alignment horizontal="centerContinuous"/>
    </xf>
    <xf numFmtId="164" fontId="10" fillId="2" borderId="3" xfId="0" applyNumberFormat="1" applyFont="1" applyFill="1" applyBorder="1" applyAlignment="1">
      <alignment horizontal="centerContinuous"/>
    </xf>
    <xf numFmtId="0" fontId="10" fillId="2" borderId="3" xfId="0" applyFont="1" applyFill="1" applyBorder="1" applyAlignment="1">
      <alignment horizontal="centerContinuous"/>
    </xf>
    <xf numFmtId="0" fontId="5" fillId="0" borderId="0" xfId="0" applyFont="1" applyAlignment="1">
      <alignment horizontal="center"/>
    </xf>
    <xf numFmtId="0" fontId="5" fillId="2" borderId="41" xfId="0" applyFont="1" applyFill="1" applyBorder="1"/>
    <xf numFmtId="0" fontId="5" fillId="2" borderId="12" xfId="0" applyFont="1" applyFill="1" applyBorder="1" applyAlignment="1">
      <alignment horizontal="center"/>
    </xf>
    <xf numFmtId="164" fontId="5" fillId="2" borderId="13" xfId="0" applyNumberFormat="1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64" fontId="5" fillId="2" borderId="11" xfId="0" applyNumberFormat="1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165" fontId="5" fillId="0" borderId="14" xfId="0" applyNumberFormat="1" applyFont="1" applyBorder="1"/>
    <xf numFmtId="0" fontId="5" fillId="0" borderId="15" xfId="0" applyFont="1" applyFill="1" applyBorder="1"/>
    <xf numFmtId="164" fontId="5" fillId="0" borderId="16" xfId="0" applyNumberFormat="1" applyFont="1" applyFill="1" applyBorder="1"/>
    <xf numFmtId="0" fontId="5" fillId="0" borderId="18" xfId="0" applyFont="1" applyBorder="1"/>
    <xf numFmtId="164" fontId="5" fillId="3" borderId="18" xfId="0" applyNumberFormat="1" applyFont="1" applyFill="1" applyBorder="1"/>
    <xf numFmtId="0" fontId="5" fillId="3" borderId="15" xfId="0" applyFont="1" applyFill="1" applyBorder="1"/>
    <xf numFmtId="164" fontId="5" fillId="3" borderId="16" xfId="0" applyNumberFormat="1" applyFont="1" applyFill="1" applyBorder="1"/>
    <xf numFmtId="164" fontId="5" fillId="0" borderId="18" xfId="0" applyNumberFormat="1" applyFont="1" applyBorder="1"/>
    <xf numFmtId="0" fontId="5" fillId="0" borderId="15" xfId="0" applyFont="1" applyBorder="1"/>
    <xf numFmtId="164" fontId="5" fillId="0" borderId="16" xfId="0" applyNumberFormat="1" applyFont="1" applyBorder="1"/>
    <xf numFmtId="0" fontId="5" fillId="3" borderId="18" xfId="0" applyFont="1" applyFill="1" applyBorder="1"/>
    <xf numFmtId="165" fontId="10" fillId="3" borderId="14" xfId="0" applyNumberFormat="1" applyFont="1" applyFill="1" applyBorder="1"/>
    <xf numFmtId="0" fontId="10" fillId="0" borderId="15" xfId="0" applyFont="1" applyFill="1" applyBorder="1"/>
    <xf numFmtId="164" fontId="10" fillId="0" borderId="16" xfId="0" applyNumberFormat="1" applyFont="1" applyFill="1" applyBorder="1"/>
    <xf numFmtId="0" fontId="10" fillId="3" borderId="18" xfId="0" applyFont="1" applyFill="1" applyBorder="1"/>
    <xf numFmtId="164" fontId="10" fillId="3" borderId="18" xfId="0" applyNumberFormat="1" applyFont="1" applyFill="1" applyBorder="1"/>
    <xf numFmtId="0" fontId="10" fillId="3" borderId="15" xfId="0" applyFont="1" applyFill="1" applyBorder="1"/>
    <xf numFmtId="164" fontId="10" fillId="3" borderId="16" xfId="0" applyNumberFormat="1" applyFont="1" applyFill="1" applyBorder="1"/>
    <xf numFmtId="0" fontId="10" fillId="0" borderId="18" xfId="0" applyFont="1" applyBorder="1"/>
    <xf numFmtId="164" fontId="10" fillId="0" borderId="18" xfId="0" applyNumberFormat="1" applyFont="1" applyBorder="1"/>
    <xf numFmtId="0" fontId="10" fillId="0" borderId="15" xfId="0" applyFont="1" applyBorder="1"/>
    <xf numFmtId="164" fontId="10" fillId="0" borderId="16" xfId="0" applyNumberFormat="1" applyFont="1" applyBorder="1"/>
    <xf numFmtId="0" fontId="5" fillId="0" borderId="8" xfId="0" applyFont="1" applyBorder="1"/>
    <xf numFmtId="164" fontId="5" fillId="0" borderId="9" xfId="0" applyNumberFormat="1" applyFont="1" applyBorder="1"/>
    <xf numFmtId="0" fontId="10" fillId="3" borderId="34" xfId="0" applyFont="1" applyFill="1" applyBorder="1"/>
    <xf numFmtId="0" fontId="10" fillId="3" borderId="35" xfId="0" applyFont="1" applyFill="1" applyBorder="1"/>
    <xf numFmtId="165" fontId="10" fillId="3" borderId="17" xfId="0" applyNumberFormat="1" applyFont="1" applyFill="1" applyBorder="1"/>
    <xf numFmtId="165" fontId="10" fillId="3" borderId="18" xfId="0" applyNumberFormat="1" applyFont="1" applyFill="1" applyBorder="1"/>
    <xf numFmtId="165" fontId="10" fillId="3" borderId="19" xfId="0" applyNumberFormat="1" applyFont="1" applyFill="1" applyBorder="1"/>
    <xf numFmtId="165" fontId="10" fillId="3" borderId="4" xfId="0" applyNumberFormat="1" applyFont="1" applyFill="1" applyBorder="1"/>
    <xf numFmtId="165" fontId="10" fillId="3" borderId="5" xfId="0" applyNumberFormat="1" applyFont="1" applyFill="1" applyBorder="1"/>
    <xf numFmtId="165" fontId="10" fillId="3" borderId="24" xfId="0" applyNumberFormat="1" applyFont="1" applyFill="1" applyBorder="1"/>
    <xf numFmtId="165" fontId="10" fillId="3" borderId="28" xfId="0" applyNumberFormat="1" applyFont="1" applyFill="1" applyBorder="1"/>
    <xf numFmtId="0" fontId="10" fillId="3" borderId="17" xfId="0" applyFont="1" applyFill="1" applyBorder="1"/>
    <xf numFmtId="165" fontId="10" fillId="2" borderId="7" xfId="0" applyNumberFormat="1" applyFont="1" applyFill="1" applyBorder="1"/>
    <xf numFmtId="0" fontId="10" fillId="0" borderId="24" xfId="0" applyFont="1" applyFill="1" applyBorder="1"/>
    <xf numFmtId="164" fontId="10" fillId="0" borderId="28" xfId="0" applyNumberFormat="1" applyFont="1" applyFill="1" applyBorder="1"/>
    <xf numFmtId="0" fontId="10" fillId="3" borderId="27" xfId="0" applyFont="1" applyFill="1" applyBorder="1"/>
    <xf numFmtId="164" fontId="10" fillId="3" borderId="27" xfId="0" applyNumberFormat="1" applyFont="1" applyFill="1" applyBorder="1"/>
    <xf numFmtId="164" fontId="10" fillId="3" borderId="29" xfId="0" applyNumberFormat="1" applyFont="1" applyFill="1" applyBorder="1"/>
    <xf numFmtId="0" fontId="10" fillId="3" borderId="24" xfId="0" applyFont="1" applyFill="1" applyBorder="1"/>
    <xf numFmtId="164" fontId="10" fillId="3" borderId="28" xfId="0" applyNumberFormat="1" applyFont="1" applyFill="1" applyBorder="1"/>
    <xf numFmtId="0" fontId="10" fillId="2" borderId="26" xfId="0" applyFont="1" applyFill="1" applyBorder="1"/>
    <xf numFmtId="164" fontId="10" fillId="2" borderId="27" xfId="0" applyNumberFormat="1" applyFont="1" applyFill="1" applyBorder="1"/>
    <xf numFmtId="0" fontId="10" fillId="2" borderId="27" xfId="0" applyFont="1" applyFill="1" applyBorder="1"/>
    <xf numFmtId="164" fontId="10" fillId="2" borderId="29" xfId="0" applyNumberFormat="1" applyFont="1" applyFill="1" applyBorder="1"/>
    <xf numFmtId="0" fontId="10" fillId="2" borderId="24" xfId="0" applyFont="1" applyFill="1" applyBorder="1"/>
    <xf numFmtId="164" fontId="10" fillId="2" borderId="28" xfId="0" applyNumberFormat="1" applyFont="1" applyFill="1" applyBorder="1"/>
    <xf numFmtId="165" fontId="5" fillId="0" borderId="24" xfId="0" applyNumberFormat="1" applyFont="1" applyBorder="1"/>
    <xf numFmtId="165" fontId="5" fillId="0" borderId="25" xfId="0" applyNumberFormat="1" applyFont="1" applyBorder="1"/>
    <xf numFmtId="0" fontId="5" fillId="0" borderId="17" xfId="0" applyFont="1" applyBorder="1"/>
    <xf numFmtId="165" fontId="10" fillId="3" borderId="7" xfId="0" applyNumberFormat="1" applyFont="1" applyFill="1" applyBorder="1"/>
    <xf numFmtId="164" fontId="10" fillId="0" borderId="27" xfId="0" applyNumberFormat="1" applyFont="1" applyBorder="1"/>
    <xf numFmtId="0" fontId="10" fillId="0" borderId="27" xfId="0" applyFont="1" applyBorder="1"/>
    <xf numFmtId="164" fontId="10" fillId="0" borderId="29" xfId="0" applyNumberFormat="1" applyFont="1" applyBorder="1"/>
    <xf numFmtId="0" fontId="10" fillId="0" borderId="24" xfId="0" applyFont="1" applyBorder="1"/>
    <xf numFmtId="164" fontId="10" fillId="0" borderId="28" xfId="0" applyNumberFormat="1" applyFont="1" applyBorder="1"/>
    <xf numFmtId="0" fontId="10" fillId="3" borderId="26" xfId="0" applyFont="1" applyFill="1" applyBorder="1"/>
    <xf numFmtId="165" fontId="5" fillId="0" borderId="30" xfId="0" applyNumberFormat="1" applyFont="1" applyBorder="1"/>
    <xf numFmtId="0" fontId="10" fillId="0" borderId="34" xfId="0" applyFont="1" applyFill="1" applyBorder="1"/>
    <xf numFmtId="164" fontId="10" fillId="0" borderId="35" xfId="0" applyNumberFormat="1" applyFont="1" applyFill="1" applyBorder="1"/>
    <xf numFmtId="0" fontId="10" fillId="0" borderId="32" xfId="0" applyFont="1" applyBorder="1"/>
    <xf numFmtId="164" fontId="10" fillId="0" borderId="33" xfId="0" applyNumberFormat="1" applyFont="1" applyBorder="1"/>
    <xf numFmtId="0" fontId="10" fillId="0" borderId="33" xfId="0" applyFont="1" applyBorder="1"/>
    <xf numFmtId="164" fontId="10" fillId="0" borderId="36" xfId="0" applyNumberFormat="1" applyFont="1" applyBorder="1"/>
    <xf numFmtId="0" fontId="10" fillId="0" borderId="34" xfId="0" applyFont="1" applyBorder="1"/>
    <xf numFmtId="164" fontId="10" fillId="0" borderId="35" xfId="0" applyNumberFormat="1" applyFont="1" applyBorder="1"/>
    <xf numFmtId="0" fontId="5" fillId="0" borderId="32" xfId="0" applyFont="1" applyBorder="1"/>
    <xf numFmtId="164" fontId="5" fillId="3" borderId="33" xfId="0" applyNumberFormat="1" applyFont="1" applyFill="1" applyBorder="1"/>
    <xf numFmtId="0" fontId="5" fillId="0" borderId="33" xfId="0" applyFont="1" applyBorder="1"/>
    <xf numFmtId="0" fontId="5" fillId="3" borderId="34" xfId="0" applyFont="1" applyFill="1" applyBorder="1"/>
    <xf numFmtId="164" fontId="5" fillId="3" borderId="35" xfId="0" applyNumberFormat="1" applyFont="1" applyFill="1" applyBorder="1"/>
    <xf numFmtId="164" fontId="5" fillId="0" borderId="33" xfId="0" applyNumberFormat="1" applyFont="1" applyBorder="1"/>
    <xf numFmtId="164" fontId="5" fillId="0" borderId="36" xfId="0" applyNumberFormat="1" applyFont="1" applyBorder="1"/>
    <xf numFmtId="0" fontId="5" fillId="0" borderId="34" xfId="0" applyFont="1" applyBorder="1"/>
    <xf numFmtId="164" fontId="5" fillId="0" borderId="35" xfId="0" applyNumberFormat="1" applyFont="1" applyBorder="1"/>
    <xf numFmtId="0" fontId="5" fillId="3" borderId="32" xfId="0" applyFont="1" applyFill="1" applyBorder="1"/>
    <xf numFmtId="165" fontId="5" fillId="0" borderId="20" xfId="0" applyNumberFormat="1" applyFont="1" applyBorder="1"/>
    <xf numFmtId="0" fontId="5" fillId="0" borderId="38" xfId="0" applyFont="1" applyBorder="1"/>
    <xf numFmtId="164" fontId="5" fillId="3" borderId="22" xfId="0" applyNumberFormat="1" applyFont="1" applyFill="1" applyBorder="1"/>
    <xf numFmtId="0" fontId="5" fillId="0" borderId="22" xfId="0" applyFont="1" applyBorder="1"/>
    <xf numFmtId="0" fontId="5" fillId="3" borderId="8" xfId="0" applyFont="1" applyFill="1" applyBorder="1"/>
    <xf numFmtId="164" fontId="5" fillId="3" borderId="9" xfId="0" applyNumberFormat="1" applyFont="1" applyFill="1" applyBorder="1"/>
    <xf numFmtId="164" fontId="5" fillId="0" borderId="22" xfId="0" applyNumberFormat="1" applyFont="1" applyBorder="1"/>
    <xf numFmtId="1" fontId="10" fillId="3" borderId="7" xfId="0" applyNumberFormat="1" applyFont="1" applyFill="1" applyBorder="1"/>
    <xf numFmtId="0" fontId="5" fillId="0" borderId="34" xfId="0" applyFont="1" applyFill="1" applyBorder="1"/>
    <xf numFmtId="164" fontId="5" fillId="0" borderId="35" xfId="0" applyNumberFormat="1" applyFont="1" applyFill="1" applyBorder="1"/>
    <xf numFmtId="0" fontId="5" fillId="3" borderId="33" xfId="0" applyFont="1" applyFill="1" applyBorder="1"/>
    <xf numFmtId="0" fontId="10" fillId="3" borderId="42" xfId="0" applyFont="1" applyFill="1" applyBorder="1"/>
    <xf numFmtId="164" fontId="10" fillId="3" borderId="43" xfId="0" applyNumberFormat="1" applyFont="1" applyFill="1" applyBorder="1"/>
    <xf numFmtId="164" fontId="5" fillId="3" borderId="36" xfId="0" applyNumberFormat="1" applyFont="1" applyFill="1" applyBorder="1"/>
    <xf numFmtId="1" fontId="5" fillId="3" borderId="4" xfId="0" applyNumberFormat="1" applyFont="1" applyFill="1" applyBorder="1"/>
    <xf numFmtId="164" fontId="5" fillId="3" borderId="5" xfId="0" applyNumberFormat="1" applyFont="1" applyFill="1" applyBorder="1"/>
    <xf numFmtId="164" fontId="5" fillId="3" borderId="11" xfId="0" applyNumberFormat="1" applyFont="1" applyFill="1" applyBorder="1"/>
    <xf numFmtId="1" fontId="5" fillId="3" borderId="12" xfId="0" applyNumberFormat="1" applyFont="1" applyFill="1" applyBorder="1"/>
    <xf numFmtId="1" fontId="10" fillId="3" borderId="44" xfId="0" applyNumberFormat="1" applyFont="1" applyFill="1" applyBorder="1"/>
    <xf numFmtId="164" fontId="10" fillId="3" borderId="45" xfId="0" applyNumberFormat="1" applyFont="1" applyFill="1" applyBorder="1"/>
    <xf numFmtId="165" fontId="13" fillId="2" borderId="40" xfId="0" applyNumberFormat="1" applyFont="1" applyFill="1" applyBorder="1"/>
    <xf numFmtId="1" fontId="10" fillId="0" borderId="24" xfId="0" applyNumberFormat="1" applyFont="1" applyFill="1" applyBorder="1"/>
    <xf numFmtId="1" fontId="10" fillId="3" borderId="27" xfId="0" applyNumberFormat="1" applyFont="1" applyFill="1" applyBorder="1"/>
    <xf numFmtId="1" fontId="10" fillId="3" borderId="24" xfId="0" applyNumberFormat="1" applyFont="1" applyFill="1" applyBorder="1"/>
    <xf numFmtId="164" fontId="10" fillId="0" borderId="0" xfId="0" applyNumberFormat="1" applyFont="1"/>
    <xf numFmtId="0" fontId="10" fillId="3" borderId="29" xfId="0" applyFont="1" applyFill="1" applyBorder="1"/>
    <xf numFmtId="0" fontId="10" fillId="3" borderId="28" xfId="0" applyFont="1" applyFill="1" applyBorder="1"/>
    <xf numFmtId="165" fontId="10" fillId="3" borderId="26" xfId="0" applyNumberFormat="1" applyFont="1" applyFill="1" applyBorder="1"/>
    <xf numFmtId="165" fontId="10" fillId="3" borderId="27" xfId="0" applyNumberFormat="1" applyFont="1" applyFill="1" applyBorder="1"/>
    <xf numFmtId="165" fontId="10" fillId="3" borderId="29" xfId="0" applyNumberFormat="1" applyFont="1" applyFill="1" applyBorder="1"/>
    <xf numFmtId="0" fontId="5" fillId="3" borderId="38" xfId="0" applyFont="1" applyFill="1" applyBorder="1"/>
    <xf numFmtId="164" fontId="5" fillId="3" borderId="46" xfId="0" applyNumberFormat="1" applyFont="1" applyFill="1" applyBorder="1"/>
    <xf numFmtId="0" fontId="10" fillId="2" borderId="47" xfId="0" applyFont="1" applyFill="1" applyBorder="1"/>
    <xf numFmtId="164" fontId="10" fillId="2" borderId="47" xfId="0" applyNumberFormat="1" applyFont="1" applyFill="1" applyBorder="1"/>
    <xf numFmtId="0" fontId="10" fillId="3" borderId="47" xfId="0" applyFont="1" applyFill="1" applyBorder="1"/>
    <xf numFmtId="164" fontId="10" fillId="3" borderId="47" xfId="0" applyNumberFormat="1" applyFont="1" applyFill="1" applyBorder="1"/>
    <xf numFmtId="0" fontId="10" fillId="2" borderId="42" xfId="0" applyFont="1" applyFill="1" applyBorder="1"/>
    <xf numFmtId="165" fontId="7" fillId="0" borderId="0" xfId="1" applyNumberFormat="1" applyFont="1" applyAlignment="1" applyProtection="1"/>
    <xf numFmtId="164" fontId="5" fillId="3" borderId="19" xfId="0" applyNumberFormat="1" applyFont="1" applyFill="1" applyBorder="1"/>
    <xf numFmtId="0" fontId="5" fillId="3" borderId="4" xfId="0" applyFont="1" applyFill="1" applyBorder="1"/>
    <xf numFmtId="0" fontId="5" fillId="3" borderId="22" xfId="0" applyFont="1" applyFill="1" applyBorder="1"/>
    <xf numFmtId="164" fontId="5" fillId="3" borderId="23" xfId="0" applyNumberFormat="1" applyFont="1" applyFill="1" applyBorder="1"/>
    <xf numFmtId="164" fontId="5" fillId="3" borderId="48" xfId="0" applyNumberFormat="1" applyFont="1" applyFill="1" applyBorder="1"/>
    <xf numFmtId="0" fontId="10" fillId="0" borderId="0" xfId="0" applyFont="1" applyBorder="1"/>
    <xf numFmtId="165" fontId="5" fillId="0" borderId="46" xfId="0" applyNumberFormat="1" applyFont="1" applyBorder="1"/>
    <xf numFmtId="165" fontId="5" fillId="0" borderId="42" xfId="0" applyNumberFormat="1" applyFont="1" applyBorder="1"/>
    <xf numFmtId="165" fontId="5" fillId="0" borderId="49" xfId="0" applyNumberFormat="1" applyFont="1" applyBorder="1"/>
    <xf numFmtId="0" fontId="5" fillId="3" borderId="42" xfId="0" applyFont="1" applyFill="1" applyBorder="1"/>
    <xf numFmtId="164" fontId="5" fillId="3" borderId="47" xfId="0" applyNumberFormat="1" applyFont="1" applyFill="1" applyBorder="1"/>
    <xf numFmtId="0" fontId="5" fillId="3" borderId="47" xfId="0" applyFont="1" applyFill="1" applyBorder="1"/>
    <xf numFmtId="164" fontId="5" fillId="3" borderId="50" xfId="0" applyNumberFormat="1" applyFont="1" applyFill="1" applyBorder="1"/>
    <xf numFmtId="164" fontId="5" fillId="3" borderId="43" xfId="0" applyNumberFormat="1" applyFont="1" applyFill="1" applyBorder="1"/>
    <xf numFmtId="0" fontId="5" fillId="3" borderId="51" xfId="0" applyFont="1" applyFill="1" applyBorder="1"/>
    <xf numFmtId="165" fontId="10" fillId="3" borderId="52" xfId="0" applyNumberFormat="1" applyFont="1" applyFill="1" applyBorder="1"/>
    <xf numFmtId="0" fontId="5" fillId="3" borderId="24" xfId="0" applyFont="1" applyFill="1" applyBorder="1"/>
    <xf numFmtId="165" fontId="5" fillId="0" borderId="1" xfId="0" applyNumberFormat="1" applyFont="1" applyBorder="1"/>
    <xf numFmtId="0" fontId="10" fillId="3" borderId="32" xfId="0" applyFont="1" applyFill="1" applyBorder="1"/>
    <xf numFmtId="164" fontId="10" fillId="3" borderId="33" xfId="0" applyNumberFormat="1" applyFont="1" applyFill="1" applyBorder="1"/>
    <xf numFmtId="0" fontId="10" fillId="3" borderId="33" xfId="0" applyFont="1" applyFill="1" applyBorder="1"/>
    <xf numFmtId="164" fontId="10" fillId="3" borderId="36" xfId="0" applyNumberFormat="1" applyFont="1" applyFill="1" applyBorder="1"/>
    <xf numFmtId="164" fontId="10" fillId="3" borderId="35" xfId="0" applyNumberFormat="1" applyFont="1" applyFill="1" applyBorder="1"/>
    <xf numFmtId="0" fontId="10" fillId="3" borderId="22" xfId="0" applyFont="1" applyFill="1" applyBorder="1"/>
    <xf numFmtId="165" fontId="10" fillId="2" borderId="33" xfId="0" applyNumberFormat="1" applyFont="1" applyFill="1" applyBorder="1"/>
    <xf numFmtId="1" fontId="10" fillId="3" borderId="33" xfId="0" applyNumberFormat="1" applyFont="1" applyFill="1" applyBorder="1"/>
    <xf numFmtId="165" fontId="10" fillId="3" borderId="33" xfId="0" applyNumberFormat="1" applyFont="1" applyFill="1" applyBorder="1"/>
    <xf numFmtId="165" fontId="10" fillId="0" borderId="0" xfId="0" applyNumberFormat="1" applyFont="1" applyFill="1" applyBorder="1"/>
    <xf numFmtId="1" fontId="10" fillId="0" borderId="0" xfId="0" applyNumberFormat="1" applyFont="1" applyFill="1" applyBorder="1"/>
    <xf numFmtId="164" fontId="10" fillId="0" borderId="0" xfId="0" applyNumberFormat="1" applyFont="1" applyFill="1" applyBorder="1"/>
    <xf numFmtId="0" fontId="10" fillId="0" borderId="0" xfId="0" applyFont="1" applyBorder="1" applyAlignment="1">
      <alignment horizontal="centerContinuous"/>
    </xf>
    <xf numFmtId="165" fontId="7" fillId="0" borderId="0" xfId="1" applyNumberFormat="1" applyFont="1" applyAlignment="1" applyProtection="1">
      <alignment horizontal="left"/>
      <protection locked="0"/>
    </xf>
    <xf numFmtId="0" fontId="10" fillId="2" borderId="53" xfId="0" applyFont="1" applyFill="1" applyBorder="1" applyAlignment="1">
      <alignment horizontal="centerContinuous"/>
    </xf>
    <xf numFmtId="0" fontId="10" fillId="2" borderId="54" xfId="0" applyFont="1" applyFill="1" applyBorder="1" applyAlignment="1">
      <alignment horizontal="centerContinuous"/>
    </xf>
    <xf numFmtId="0" fontId="5" fillId="2" borderId="55" xfId="0" applyFont="1" applyFill="1" applyBorder="1" applyAlignment="1">
      <alignment horizontal="centerContinuous"/>
    </xf>
    <xf numFmtId="0" fontId="10" fillId="2" borderId="15" xfId="0" applyFont="1" applyFill="1" applyBorder="1" applyAlignment="1">
      <alignment horizontal="centerContinuous"/>
    </xf>
    <xf numFmtId="0" fontId="10" fillId="2" borderId="18" xfId="0" applyFont="1" applyFill="1" applyBorder="1" applyAlignment="1">
      <alignment horizontal="centerContinuous"/>
    </xf>
    <xf numFmtId="0" fontId="10" fillId="2" borderId="19" xfId="0" applyFont="1" applyFill="1" applyBorder="1" applyAlignment="1">
      <alignment horizontal="centerContinuous"/>
    </xf>
    <xf numFmtId="0" fontId="10" fillId="2" borderId="14" xfId="0" applyFont="1" applyFill="1" applyBorder="1" applyAlignment="1">
      <alignment horizontal="centerContinuous"/>
    </xf>
    <xf numFmtId="0" fontId="5" fillId="0" borderId="15" xfId="0" applyFont="1" applyBorder="1" applyAlignment="1">
      <alignment horizontal="left"/>
    </xf>
    <xf numFmtId="166" fontId="5" fillId="2" borderId="14" xfId="2" applyNumberFormat="1" applyFont="1" applyFill="1" applyBorder="1"/>
    <xf numFmtId="0" fontId="10" fillId="2" borderId="15" xfId="0" applyFont="1" applyFill="1" applyBorder="1" applyAlignment="1">
      <alignment horizontal="left"/>
    </xf>
    <xf numFmtId="0" fontId="10" fillId="0" borderId="0" xfId="0" applyFont="1" applyFill="1" applyBorder="1"/>
    <xf numFmtId="0" fontId="5" fillId="0" borderId="0" xfId="0" applyFont="1" applyFill="1" applyBorder="1"/>
    <xf numFmtId="0" fontId="10" fillId="3" borderId="16" xfId="0" applyFont="1" applyFill="1" applyBorder="1"/>
    <xf numFmtId="0" fontId="5" fillId="3" borderId="16" xfId="0" applyFont="1" applyFill="1" applyBorder="1"/>
    <xf numFmtId="0" fontId="5" fillId="0" borderId="18" xfId="0" applyFont="1" applyFill="1" applyBorder="1"/>
    <xf numFmtId="0" fontId="10" fillId="3" borderId="12" xfId="0" applyFont="1" applyFill="1" applyBorder="1"/>
    <xf numFmtId="0" fontId="10" fillId="3" borderId="11" xfId="0" applyFont="1" applyFill="1" applyBorder="1"/>
    <xf numFmtId="0" fontId="10" fillId="3" borderId="13" xfId="0" applyFont="1" applyFill="1" applyBorder="1"/>
    <xf numFmtId="0" fontId="13" fillId="0" borderId="0" xfId="0" applyFont="1" applyAlignment="1">
      <alignment horizontal="centerContinuous"/>
    </xf>
    <xf numFmtId="0" fontId="5" fillId="0" borderId="0" xfId="0" applyFont="1" applyAlignment="1"/>
    <xf numFmtId="0" fontId="10" fillId="3" borderId="52" xfId="0" applyFont="1" applyFill="1" applyBorder="1"/>
    <xf numFmtId="0" fontId="10" fillId="3" borderId="41" xfId="0" applyFont="1" applyFill="1" applyBorder="1"/>
    <xf numFmtId="0" fontId="5" fillId="3" borderId="55" xfId="0" applyFont="1" applyFill="1" applyBorder="1"/>
    <xf numFmtId="0" fontId="5" fillId="3" borderId="14" xfId="0" applyFont="1" applyFill="1" applyBorder="1"/>
    <xf numFmtId="1" fontId="10" fillId="0" borderId="7" xfId="0" applyNumberFormat="1" applyFont="1" applyBorder="1"/>
    <xf numFmtId="0" fontId="10" fillId="3" borderId="7" xfId="0" applyFont="1" applyFill="1" applyBorder="1"/>
    <xf numFmtId="0" fontId="10" fillId="3" borderId="25" xfId="0" applyFont="1" applyFill="1" applyBorder="1"/>
    <xf numFmtId="0" fontId="10" fillId="3" borderId="40" xfId="0" applyFont="1" applyFill="1" applyBorder="1"/>
    <xf numFmtId="164" fontId="10" fillId="3" borderId="25" xfId="0" applyNumberFormat="1" applyFont="1" applyFill="1" applyBorder="1"/>
    <xf numFmtId="0" fontId="5" fillId="0" borderId="62" xfId="0" applyFont="1" applyBorder="1"/>
    <xf numFmtId="0" fontId="5" fillId="0" borderId="38" xfId="0" applyFont="1" applyFill="1" applyBorder="1"/>
    <xf numFmtId="0" fontId="5" fillId="0" borderId="23" xfId="0" applyFont="1" applyFill="1" applyBorder="1"/>
    <xf numFmtId="0" fontId="5" fillId="0" borderId="8" xfId="0" applyFont="1" applyFill="1" applyBorder="1"/>
    <xf numFmtId="0" fontId="5" fillId="0" borderId="36" xfId="0" applyFont="1" applyFill="1" applyBorder="1"/>
    <xf numFmtId="0" fontId="5" fillId="3" borderId="30" xfId="0" applyFont="1" applyFill="1" applyBorder="1"/>
    <xf numFmtId="0" fontId="5" fillId="0" borderId="19" xfId="0" applyFont="1" applyFill="1" applyBorder="1"/>
    <xf numFmtId="0" fontId="5" fillId="0" borderId="17" xfId="0" applyFont="1" applyFill="1" applyBorder="1"/>
    <xf numFmtId="0" fontId="5" fillId="0" borderId="14" xfId="0" applyFont="1" applyBorder="1"/>
    <xf numFmtId="0" fontId="5" fillId="0" borderId="19" xfId="0" applyFont="1" applyBorder="1"/>
    <xf numFmtId="0" fontId="10" fillId="3" borderId="50" xfId="0" applyFont="1" applyFill="1" applyBorder="1"/>
    <xf numFmtId="0" fontId="5" fillId="0" borderId="58" xfId="0" applyFont="1" applyBorder="1"/>
    <xf numFmtId="0" fontId="10" fillId="3" borderId="14" xfId="0" applyFont="1" applyFill="1" applyBorder="1"/>
    <xf numFmtId="0" fontId="5" fillId="0" borderId="23" xfId="0" applyFont="1" applyBorder="1"/>
    <xf numFmtId="0" fontId="10" fillId="3" borderId="39" xfId="0" applyFont="1" applyFill="1" applyBorder="1"/>
    <xf numFmtId="0" fontId="5" fillId="0" borderId="64" xfId="0" applyFont="1" applyFill="1" applyBorder="1"/>
    <xf numFmtId="0" fontId="10" fillId="0" borderId="7" xfId="0" applyFont="1" applyBorder="1"/>
    <xf numFmtId="0" fontId="5" fillId="3" borderId="67" xfId="0" applyFont="1" applyFill="1" applyBorder="1"/>
    <xf numFmtId="0" fontId="5" fillId="3" borderId="2" xfId="0" applyFont="1" applyFill="1" applyBorder="1"/>
    <xf numFmtId="0" fontId="5" fillId="3" borderId="31" xfId="0" applyFont="1" applyFill="1" applyBorder="1"/>
    <xf numFmtId="0" fontId="5" fillId="3" borderId="17" xfId="0" applyFont="1" applyFill="1" applyBorder="1"/>
    <xf numFmtId="0" fontId="5" fillId="3" borderId="56" xfId="0" applyFont="1" applyFill="1" applyBorder="1"/>
    <xf numFmtId="0" fontId="5" fillId="3" borderId="7" xfId="0" applyFont="1" applyFill="1" applyBorder="1"/>
    <xf numFmtId="0" fontId="13" fillId="0" borderId="4" xfId="0" applyFont="1" applyBorder="1" applyAlignment="1">
      <alignment horizontal="centerContinuous"/>
    </xf>
    <xf numFmtId="0" fontId="13" fillId="0" borderId="5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16" fontId="13" fillId="0" borderId="5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11" xfId="0" applyFont="1" applyBorder="1" applyAlignment="1">
      <alignment horizontal="center" vertical="center" textRotation="90"/>
    </xf>
    <xf numFmtId="0" fontId="5" fillId="0" borderId="11" xfId="0" applyFont="1" applyBorder="1"/>
    <xf numFmtId="0" fontId="10" fillId="0" borderId="11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wrapText="1"/>
    </xf>
    <xf numFmtId="0" fontId="5" fillId="0" borderId="15" xfId="0" applyFont="1" applyBorder="1" applyAlignment="1">
      <alignment horizontal="centerContinuous"/>
    </xf>
    <xf numFmtId="0" fontId="5" fillId="0" borderId="16" xfId="0" applyFont="1" applyBorder="1" applyAlignment="1">
      <alignment horizontal="centerContinuous"/>
    </xf>
    <xf numFmtId="0" fontId="10" fillId="0" borderId="16" xfId="0" applyFont="1" applyBorder="1"/>
    <xf numFmtId="0" fontId="10" fillId="0" borderId="24" xfId="0" applyFont="1" applyBorder="1" applyAlignment="1">
      <alignment horizontal="centerContinuous"/>
    </xf>
    <xf numFmtId="0" fontId="5" fillId="0" borderId="28" xfId="0" applyFont="1" applyBorder="1" applyAlignment="1">
      <alignment horizontal="centerContinuous"/>
    </xf>
    <xf numFmtId="0" fontId="10" fillId="0" borderId="28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Border="1" applyAlignment="1"/>
    <xf numFmtId="0" fontId="10" fillId="0" borderId="13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 wrapText="1"/>
    </xf>
    <xf numFmtId="0" fontId="16" fillId="3" borderId="4" xfId="0" applyFont="1" applyFill="1" applyBorder="1" applyAlignment="1">
      <alignment horizontal="center" vertical="center"/>
    </xf>
    <xf numFmtId="0" fontId="5" fillId="3" borderId="3" xfId="0" applyFont="1" applyFill="1" applyBorder="1"/>
    <xf numFmtId="0" fontId="10" fillId="3" borderId="5" xfId="0" applyFont="1" applyFill="1" applyBorder="1"/>
    <xf numFmtId="0" fontId="16" fillId="3" borderId="18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0" fillId="0" borderId="12" xfId="0" applyFont="1" applyBorder="1" applyAlignment="1">
      <alignment horizontal="centerContinuous"/>
    </xf>
    <xf numFmtId="0" fontId="10" fillId="0" borderId="13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right"/>
    </xf>
    <xf numFmtId="10" fontId="10" fillId="0" borderId="0" xfId="0" applyNumberFormat="1" applyFont="1" applyBorder="1"/>
    <xf numFmtId="0" fontId="5" fillId="0" borderId="56" xfId="0" applyFont="1" applyBorder="1" applyAlignment="1">
      <alignment horizontal="centerContinuous"/>
    </xf>
    <xf numFmtId="0" fontId="5" fillId="0" borderId="49" xfId="0" applyFont="1" applyBorder="1" applyAlignment="1">
      <alignment horizontal="centerContinuous"/>
    </xf>
    <xf numFmtId="0" fontId="10" fillId="0" borderId="69" xfId="0" applyFont="1" applyBorder="1" applyAlignment="1">
      <alignment horizontal="centerContinuous"/>
    </xf>
    <xf numFmtId="0" fontId="5" fillId="0" borderId="66" xfId="0" applyFont="1" applyBorder="1" applyAlignment="1">
      <alignment horizontal="centerContinuous"/>
    </xf>
    <xf numFmtId="0" fontId="5" fillId="0" borderId="12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164" fontId="10" fillId="3" borderId="13" xfId="0" applyNumberFormat="1" applyFont="1" applyFill="1" applyBorder="1"/>
    <xf numFmtId="0" fontId="8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5" fillId="0" borderId="6" xfId="0" applyFont="1" applyBorder="1" applyAlignment="1">
      <alignment horizontal="center" vertical="center" textRotation="90"/>
    </xf>
    <xf numFmtId="0" fontId="10" fillId="0" borderId="55" xfId="0" applyFont="1" applyBorder="1" applyAlignment="1">
      <alignment horizontal="center" vertical="center" textRotation="90"/>
    </xf>
    <xf numFmtId="0" fontId="5" fillId="0" borderId="54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/>
    </xf>
    <xf numFmtId="0" fontId="10" fillId="0" borderId="54" xfId="0" applyFont="1" applyBorder="1" applyAlignment="1">
      <alignment horizontal="center" vertical="center" textRotation="90"/>
    </xf>
    <xf numFmtId="0" fontId="5" fillId="0" borderId="64" xfId="0" applyFont="1" applyBorder="1"/>
    <xf numFmtId="165" fontId="5" fillId="0" borderId="8" xfId="0" applyNumberFormat="1" applyFont="1" applyBorder="1"/>
    <xf numFmtId="0" fontId="10" fillId="3" borderId="20" xfId="0" applyFont="1" applyFill="1" applyBorder="1"/>
    <xf numFmtId="0" fontId="10" fillId="3" borderId="30" xfId="0" applyFont="1" applyFill="1" applyBorder="1"/>
    <xf numFmtId="0" fontId="5" fillId="0" borderId="22" xfId="0" applyFont="1" applyFill="1" applyBorder="1"/>
    <xf numFmtId="0" fontId="5" fillId="3" borderId="20" xfId="0" applyFont="1" applyFill="1" applyBorder="1"/>
    <xf numFmtId="0" fontId="5" fillId="0" borderId="70" xfId="0" applyFont="1" applyFill="1" applyBorder="1"/>
    <xf numFmtId="0" fontId="5" fillId="0" borderId="70" xfId="0" applyFont="1" applyBorder="1"/>
    <xf numFmtId="0" fontId="10" fillId="3" borderId="1" xfId="0" applyFont="1" applyFill="1" applyBorder="1"/>
    <xf numFmtId="0" fontId="10" fillId="3" borderId="57" xfId="0" applyFont="1" applyFill="1" applyBorder="1"/>
    <xf numFmtId="0" fontId="10" fillId="3" borderId="51" xfId="0" applyFont="1" applyFill="1" applyBorder="1"/>
    <xf numFmtId="0" fontId="5" fillId="3" borderId="39" xfId="0" applyFont="1" applyFill="1" applyBorder="1"/>
    <xf numFmtId="0" fontId="5" fillId="3" borderId="25" xfId="0" applyFont="1" applyFill="1" applyBorder="1"/>
    <xf numFmtId="1" fontId="10" fillId="3" borderId="39" xfId="0" applyNumberFormat="1" applyFont="1" applyFill="1" applyBorder="1"/>
    <xf numFmtId="0" fontId="5" fillId="3" borderId="52" xfId="0" applyFont="1" applyFill="1" applyBorder="1"/>
    <xf numFmtId="164" fontId="10" fillId="3" borderId="39" xfId="0" applyNumberFormat="1" applyFont="1" applyFill="1" applyBorder="1"/>
    <xf numFmtId="0" fontId="8" fillId="0" borderId="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textRotation="90"/>
    </xf>
    <xf numFmtId="0" fontId="5" fillId="0" borderId="29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textRotation="90"/>
    </xf>
    <xf numFmtId="0" fontId="5" fillId="0" borderId="26" xfId="0" applyFont="1" applyBorder="1" applyAlignment="1">
      <alignment horizontal="center" vertical="center" textRotation="90"/>
    </xf>
    <xf numFmtId="0" fontId="10" fillId="0" borderId="7" xfId="0" applyFont="1" applyBorder="1" applyAlignment="1">
      <alignment horizontal="center" vertical="center" textRotation="90"/>
    </xf>
    <xf numFmtId="0" fontId="5" fillId="0" borderId="47" xfId="0" applyFont="1" applyBorder="1" applyAlignment="1">
      <alignment horizontal="center" vertical="center" textRotation="90"/>
    </xf>
    <xf numFmtId="0" fontId="5" fillId="0" borderId="50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textRotation="90"/>
    </xf>
    <xf numFmtId="0" fontId="10" fillId="0" borderId="49" xfId="0" applyFont="1" applyBorder="1" applyAlignment="1">
      <alignment horizontal="center" vertical="center" textRotation="90"/>
    </xf>
    <xf numFmtId="0" fontId="5" fillId="0" borderId="36" xfId="0" applyFont="1" applyBorder="1"/>
    <xf numFmtId="165" fontId="5" fillId="0" borderId="23" xfId="0" applyNumberFormat="1" applyFont="1" applyBorder="1"/>
    <xf numFmtId="165" fontId="10" fillId="0" borderId="52" xfId="0" applyNumberFormat="1" applyFont="1" applyBorder="1"/>
    <xf numFmtId="0" fontId="10" fillId="0" borderId="52" xfId="0" applyFont="1" applyBorder="1"/>
    <xf numFmtId="0" fontId="10" fillId="0" borderId="52" xfId="0" applyFont="1" applyFill="1" applyBorder="1"/>
    <xf numFmtId="0" fontId="10" fillId="0" borderId="56" xfId="0" applyFont="1" applyFill="1" applyBorder="1"/>
    <xf numFmtId="0" fontId="5" fillId="0" borderId="52" xfId="0" applyFont="1" applyBorder="1" applyAlignment="1">
      <alignment horizontal="center" vertical="center" textRotation="90"/>
    </xf>
    <xf numFmtId="0" fontId="5" fillId="0" borderId="39" xfId="0" applyFont="1" applyBorder="1" applyAlignment="1">
      <alignment horizontal="center" vertical="center" textRotation="90"/>
    </xf>
    <xf numFmtId="0" fontId="10" fillId="0" borderId="25" xfId="0" applyFont="1" applyBorder="1" applyAlignment="1">
      <alignment horizontal="center" vertical="center" textRotation="90"/>
    </xf>
    <xf numFmtId="0" fontId="5" fillId="0" borderId="51" xfId="0" applyFont="1" applyBorder="1" applyAlignment="1">
      <alignment horizontal="center" vertical="center" textRotation="90"/>
    </xf>
    <xf numFmtId="0" fontId="5" fillId="0" borderId="67" xfId="0" applyFont="1" applyBorder="1"/>
    <xf numFmtId="0" fontId="5" fillId="3" borderId="36" xfId="0" applyFont="1" applyFill="1" applyBorder="1"/>
    <xf numFmtId="0" fontId="5" fillId="3" borderId="63" xfId="0" applyFont="1" applyFill="1" applyBorder="1"/>
    <xf numFmtId="0" fontId="5" fillId="3" borderId="19" xfId="0" applyFont="1" applyFill="1" applyBorder="1"/>
    <xf numFmtId="0" fontId="5" fillId="3" borderId="64" xfId="0" applyFont="1" applyFill="1" applyBorder="1"/>
    <xf numFmtId="165" fontId="5" fillId="0" borderId="62" xfId="0" applyNumberFormat="1" applyFont="1" applyBorder="1"/>
    <xf numFmtId="0" fontId="5" fillId="3" borderId="23" xfId="0" applyFont="1" applyFill="1" applyBorder="1"/>
    <xf numFmtId="0" fontId="5" fillId="3" borderId="70" xfId="0" applyFont="1" applyFill="1" applyBorder="1"/>
    <xf numFmtId="0" fontId="5" fillId="0" borderId="67" xfId="0" applyFont="1" applyFill="1" applyBorder="1"/>
    <xf numFmtId="0" fontId="5" fillId="0" borderId="58" xfId="0" applyFont="1" applyFill="1" applyBorder="1"/>
    <xf numFmtId="0" fontId="5" fillId="0" borderId="62" xfId="0" applyFont="1" applyFill="1" applyBorder="1"/>
    <xf numFmtId="0" fontId="5" fillId="3" borderId="27" xfId="0" applyFont="1" applyFill="1" applyBorder="1"/>
    <xf numFmtId="0" fontId="5" fillId="3" borderId="29" xfId="0" applyFont="1" applyFill="1" applyBorder="1"/>
    <xf numFmtId="0" fontId="5" fillId="3" borderId="26" xfId="0" applyFont="1" applyFill="1" applyBorder="1"/>
    <xf numFmtId="0" fontId="5" fillId="0" borderId="0" xfId="0" applyFont="1" applyAlignment="1">
      <alignment vertical="center" textRotation="90"/>
    </xf>
    <xf numFmtId="0" fontId="5" fillId="0" borderId="55" xfId="0" applyFont="1" applyBorder="1"/>
    <xf numFmtId="0" fontId="5" fillId="0" borderId="63" xfId="0" applyFont="1" applyBorder="1"/>
    <xf numFmtId="0" fontId="5" fillId="0" borderId="30" xfId="0" applyFont="1" applyBorder="1"/>
    <xf numFmtId="0" fontId="5" fillId="0" borderId="20" xfId="0" applyFont="1" applyBorder="1"/>
    <xf numFmtId="0" fontId="10" fillId="3" borderId="55" xfId="0" applyFont="1" applyFill="1" applyBorder="1"/>
    <xf numFmtId="0" fontId="10" fillId="0" borderId="40" xfId="0" applyFont="1" applyBorder="1"/>
    <xf numFmtId="0" fontId="10" fillId="3" borderId="10" xfId="0" applyFont="1" applyFill="1" applyBorder="1"/>
    <xf numFmtId="0" fontId="10" fillId="3" borderId="71" xfId="0" applyFont="1" applyFill="1" applyBorder="1"/>
    <xf numFmtId="1" fontId="10" fillId="3" borderId="52" xfId="0" applyNumberFormat="1" applyFont="1" applyFill="1" applyBorder="1"/>
    <xf numFmtId="0" fontId="5" fillId="3" borderId="50" xfId="0" applyFont="1" applyFill="1" applyBorder="1"/>
    <xf numFmtId="0" fontId="5" fillId="3" borderId="1" xfId="0" applyFont="1" applyFill="1" applyBorder="1"/>
    <xf numFmtId="0" fontId="5" fillId="3" borderId="49" xfId="0" applyFont="1" applyFill="1" applyBorder="1"/>
    <xf numFmtId="0" fontId="5" fillId="3" borderId="40" xfId="0" applyFont="1" applyFill="1" applyBorder="1"/>
    <xf numFmtId="1" fontId="5" fillId="3" borderId="18" xfId="0" applyNumberFormat="1" applyFont="1" applyFill="1" applyBorder="1"/>
    <xf numFmtId="1" fontId="5" fillId="3" borderId="22" xfId="0" applyNumberFormat="1" applyFont="1" applyFill="1" applyBorder="1"/>
    <xf numFmtId="0" fontId="5" fillId="3" borderId="28" xfId="0" applyFont="1" applyFill="1" applyBorder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164" fontId="10" fillId="3" borderId="24" xfId="0" applyNumberFormat="1" applyFont="1" applyFill="1" applyBorder="1"/>
    <xf numFmtId="0" fontId="5" fillId="0" borderId="7" xfId="0" applyFont="1" applyBorder="1"/>
    <xf numFmtId="0" fontId="5" fillId="3" borderId="6" xfId="0" applyFont="1" applyFill="1" applyBorder="1"/>
    <xf numFmtId="0" fontId="5" fillId="3" borderId="54" xfId="0" applyFont="1" applyFill="1" applyBorder="1"/>
    <xf numFmtId="0" fontId="10" fillId="0" borderId="28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 textRotation="90"/>
    </xf>
    <xf numFmtId="0" fontId="5" fillId="0" borderId="0" xfId="0" applyFont="1" applyBorder="1" applyAlignment="1">
      <alignment vertical="center" textRotation="90"/>
    </xf>
    <xf numFmtId="0" fontId="5" fillId="3" borderId="5" xfId="0" applyFont="1" applyFill="1" applyBorder="1"/>
    <xf numFmtId="164" fontId="5" fillId="3" borderId="37" xfId="0" applyNumberFormat="1" applyFont="1" applyFill="1" applyBorder="1"/>
    <xf numFmtId="0" fontId="10" fillId="0" borderId="14" xfId="0" applyFont="1" applyBorder="1"/>
    <xf numFmtId="1" fontId="5" fillId="3" borderId="15" xfId="0" applyNumberFormat="1" applyFont="1" applyFill="1" applyBorder="1"/>
    <xf numFmtId="164" fontId="10" fillId="3" borderId="37" xfId="0" applyNumberFormat="1" applyFont="1" applyFill="1" applyBorder="1"/>
    <xf numFmtId="1" fontId="10" fillId="0" borderId="14" xfId="0" applyNumberFormat="1" applyFont="1" applyBorder="1"/>
    <xf numFmtId="1" fontId="10" fillId="3" borderId="45" xfId="0" applyNumberFormat="1" applyFont="1" applyFill="1" applyBorder="1"/>
    <xf numFmtId="164" fontId="10" fillId="0" borderId="0" xfId="0" applyNumberFormat="1" applyFont="1" applyBorder="1"/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10" fillId="0" borderId="39" xfId="0" applyFont="1" applyBorder="1" applyAlignment="1">
      <alignment horizontal="center" vertical="center" textRotation="90"/>
    </xf>
    <xf numFmtId="164" fontId="10" fillId="0" borderId="40" xfId="0" applyNumberFormat="1" applyFont="1" applyBorder="1"/>
    <xf numFmtId="164" fontId="10" fillId="3" borderId="40" xfId="0" applyNumberFormat="1" applyFont="1" applyFill="1" applyBorder="1"/>
    <xf numFmtId="0" fontId="10" fillId="0" borderId="5" xfId="0" applyFont="1" applyBorder="1" applyAlignment="1">
      <alignment horizontal="centerContinuous"/>
    </xf>
    <xf numFmtId="0" fontId="5" fillId="0" borderId="18" xfId="0" applyFont="1" applyBorder="1" applyAlignment="1">
      <alignment horizontal="right"/>
    </xf>
    <xf numFmtId="0" fontId="17" fillId="2" borderId="1" xfId="0" applyFont="1" applyFill="1" applyBorder="1"/>
    <xf numFmtId="0" fontId="17" fillId="2" borderId="2" xfId="0" applyFont="1" applyFill="1" applyBorder="1" applyAlignment="1">
      <alignment horizontal="centerContinuous"/>
    </xf>
    <xf numFmtId="164" fontId="17" fillId="2" borderId="3" xfId="0" applyNumberFormat="1" applyFont="1" applyFill="1" applyBorder="1" applyAlignment="1">
      <alignment horizontal="centerContinuous"/>
    </xf>
    <xf numFmtId="0" fontId="17" fillId="2" borderId="3" xfId="0" applyFont="1" applyFill="1" applyBorder="1" applyAlignment="1">
      <alignment horizontal="centerContinuous"/>
    </xf>
    <xf numFmtId="0" fontId="18" fillId="2" borderId="4" xfId="0" applyFont="1" applyFill="1" applyBorder="1" applyAlignment="1">
      <alignment horizontal="centerContinuous"/>
    </xf>
    <xf numFmtId="164" fontId="18" fillId="2" borderId="5" xfId="0" applyNumberFormat="1" applyFont="1" applyFill="1" applyBorder="1" applyAlignment="1">
      <alignment horizontal="centerContinuous"/>
    </xf>
    <xf numFmtId="164" fontId="18" fillId="2" borderId="3" xfId="0" applyNumberFormat="1" applyFont="1" applyFill="1" applyBorder="1" applyAlignment="1">
      <alignment horizontal="centerContinuous"/>
    </xf>
    <xf numFmtId="0" fontId="18" fillId="2" borderId="3" xfId="0" applyFont="1" applyFill="1" applyBorder="1" applyAlignment="1">
      <alignment horizontal="centerContinuous"/>
    </xf>
    <xf numFmtId="0" fontId="17" fillId="2" borderId="41" xfId="0" applyFont="1" applyFill="1" applyBorder="1"/>
    <xf numFmtId="0" fontId="17" fillId="2" borderId="10" xfId="0" applyFont="1" applyFill="1" applyBorder="1" applyAlignment="1">
      <alignment horizontal="center"/>
    </xf>
    <xf numFmtId="164" fontId="17" fillId="2" borderId="11" xfId="0" applyNumberFormat="1" applyFont="1" applyFill="1" applyBorder="1" applyAlignment="1">
      <alignment horizontal="center"/>
    </xf>
    <xf numFmtId="0" fontId="17" fillId="2" borderId="11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5" fontId="17" fillId="0" borderId="14" xfId="0" applyNumberFormat="1" applyFont="1" applyBorder="1"/>
    <xf numFmtId="0" fontId="17" fillId="0" borderId="18" xfId="0" applyFont="1" applyBorder="1"/>
    <xf numFmtId="164" fontId="17" fillId="3" borderId="18" xfId="0" applyNumberFormat="1" applyFont="1" applyFill="1" applyBorder="1"/>
    <xf numFmtId="0" fontId="17" fillId="3" borderId="15" xfId="0" applyFont="1" applyFill="1" applyBorder="1"/>
    <xf numFmtId="164" fontId="17" fillId="3" borderId="16" xfId="0" applyNumberFormat="1" applyFont="1" applyFill="1" applyBorder="1"/>
    <xf numFmtId="164" fontId="17" fillId="0" borderId="18" xfId="0" applyNumberFormat="1" applyFont="1" applyBorder="1"/>
    <xf numFmtId="164" fontId="17" fillId="0" borderId="19" xfId="0" applyNumberFormat="1" applyFont="1" applyBorder="1"/>
    <xf numFmtId="0" fontId="17" fillId="0" borderId="4" xfId="0" applyFont="1" applyBorder="1"/>
    <xf numFmtId="164" fontId="17" fillId="0" borderId="5" xfId="0" applyNumberFormat="1" applyFont="1" applyBorder="1"/>
    <xf numFmtId="0" fontId="17" fillId="3" borderId="18" xfId="0" applyFont="1" applyFill="1" applyBorder="1"/>
    <xf numFmtId="0" fontId="17" fillId="0" borderId="15" xfId="0" applyFont="1" applyBorder="1"/>
    <xf numFmtId="164" fontId="17" fillId="0" borderId="16" xfId="0" applyNumberFormat="1" applyFont="1" applyBorder="1"/>
    <xf numFmtId="0" fontId="17" fillId="0" borderId="34" xfId="0" applyFont="1" applyBorder="1"/>
    <xf numFmtId="164" fontId="17" fillId="0" borderId="35" xfId="0" applyNumberFormat="1" applyFont="1" applyBorder="1"/>
    <xf numFmtId="165" fontId="18" fillId="3" borderId="14" xfId="0" applyNumberFormat="1" applyFont="1" applyFill="1" applyBorder="1"/>
    <xf numFmtId="0" fontId="18" fillId="3" borderId="18" xfId="0" applyFont="1" applyFill="1" applyBorder="1"/>
    <xf numFmtId="164" fontId="18" fillId="3" borderId="18" xfId="0" applyNumberFormat="1" applyFont="1" applyFill="1" applyBorder="1"/>
    <xf numFmtId="0" fontId="18" fillId="3" borderId="15" xfId="0" applyFont="1" applyFill="1" applyBorder="1"/>
    <xf numFmtId="164" fontId="18" fillId="3" borderId="16" xfId="0" applyNumberFormat="1" applyFont="1" applyFill="1" applyBorder="1"/>
    <xf numFmtId="0" fontId="18" fillId="0" borderId="18" xfId="0" applyFont="1" applyBorder="1"/>
    <xf numFmtId="164" fontId="18" fillId="0" borderId="18" xfId="0" applyNumberFormat="1" applyFont="1" applyBorder="1"/>
    <xf numFmtId="164" fontId="18" fillId="0" borderId="19" xfId="0" applyNumberFormat="1" applyFont="1" applyBorder="1"/>
    <xf numFmtId="0" fontId="18" fillId="0" borderId="15" xfId="0" applyFont="1" applyBorder="1"/>
    <xf numFmtId="164" fontId="18" fillId="0" borderId="16" xfId="0" applyNumberFormat="1" applyFont="1" applyBorder="1"/>
    <xf numFmtId="0" fontId="17" fillId="3" borderId="22" xfId="0" applyFont="1" applyFill="1" applyBorder="1"/>
    <xf numFmtId="164" fontId="17" fillId="3" borderId="9" xfId="0" applyNumberFormat="1" applyFont="1" applyFill="1" applyBorder="1"/>
    <xf numFmtId="0" fontId="18" fillId="3" borderId="19" xfId="0" applyFont="1" applyFill="1" applyBorder="1"/>
    <xf numFmtId="165" fontId="18" fillId="3" borderId="34" xfId="0" applyNumberFormat="1" applyFont="1" applyFill="1" applyBorder="1"/>
    <xf numFmtId="165" fontId="18" fillId="3" borderId="36" xfId="0" applyNumberFormat="1" applyFont="1" applyFill="1" applyBorder="1"/>
    <xf numFmtId="165" fontId="18" fillId="3" borderId="11" xfId="0" applyNumberFormat="1" applyFont="1" applyFill="1" applyBorder="1"/>
    <xf numFmtId="165" fontId="18" fillId="3" borderId="18" xfId="0" applyNumberFormat="1" applyFont="1" applyFill="1" applyBorder="1"/>
    <xf numFmtId="165" fontId="18" fillId="3" borderId="19" xfId="0" applyNumberFormat="1" applyFont="1" applyFill="1" applyBorder="1"/>
    <xf numFmtId="165" fontId="18" fillId="3" borderId="12" xfId="0" applyNumberFormat="1" applyFont="1" applyFill="1" applyBorder="1"/>
    <xf numFmtId="165" fontId="18" fillId="3" borderId="13" xfId="0" applyNumberFormat="1" applyFont="1" applyFill="1" applyBorder="1"/>
    <xf numFmtId="165" fontId="18" fillId="3" borderId="24" xfId="0" applyNumberFormat="1" applyFont="1" applyFill="1" applyBorder="1"/>
    <xf numFmtId="165" fontId="18" fillId="3" borderId="28" xfId="0" applyNumberFormat="1" applyFont="1" applyFill="1" applyBorder="1"/>
    <xf numFmtId="165" fontId="18" fillId="2" borderId="7" xfId="0" applyNumberFormat="1" applyFont="1" applyFill="1" applyBorder="1"/>
    <xf numFmtId="0" fontId="18" fillId="3" borderId="27" xfId="0" applyFont="1" applyFill="1" applyBorder="1"/>
    <xf numFmtId="164" fontId="18" fillId="3" borderId="27" xfId="0" applyNumberFormat="1" applyFont="1" applyFill="1" applyBorder="1"/>
    <xf numFmtId="0" fontId="18" fillId="3" borderId="24" xfId="0" applyFont="1" applyFill="1" applyBorder="1"/>
    <xf numFmtId="164" fontId="18" fillId="3" borderId="29" xfId="0" applyNumberFormat="1" applyFont="1" applyFill="1" applyBorder="1"/>
    <xf numFmtId="0" fontId="18" fillId="2" borderId="24" xfId="0" applyFont="1" applyFill="1" applyBorder="1"/>
    <xf numFmtId="164" fontId="18" fillId="2" borderId="28" xfId="0" applyNumberFormat="1" applyFont="1" applyFill="1" applyBorder="1"/>
    <xf numFmtId="0" fontId="18" fillId="2" borderId="26" xfId="0" applyFont="1" applyFill="1" applyBorder="1"/>
    <xf numFmtId="164" fontId="18" fillId="2" borderId="27" xfId="0" applyNumberFormat="1" applyFont="1" applyFill="1" applyBorder="1"/>
    <xf numFmtId="0" fontId="18" fillId="2" borderId="27" xfId="0" applyFont="1" applyFill="1" applyBorder="1"/>
    <xf numFmtId="164" fontId="18" fillId="2" borderId="29" xfId="0" applyNumberFormat="1" applyFont="1" applyFill="1" applyBorder="1"/>
    <xf numFmtId="164" fontId="18" fillId="3" borderId="28" xfId="0" applyNumberFormat="1" applyFont="1" applyFill="1" applyBorder="1"/>
    <xf numFmtId="165" fontId="18" fillId="3" borderId="7" xfId="0" applyNumberFormat="1" applyFont="1" applyFill="1" applyBorder="1"/>
    <xf numFmtId="164" fontId="18" fillId="0" borderId="27" xfId="0" applyNumberFormat="1" applyFont="1" applyBorder="1"/>
    <xf numFmtId="0" fontId="18" fillId="0" borderId="27" xfId="0" applyFont="1" applyBorder="1"/>
    <xf numFmtId="164" fontId="18" fillId="0" borderId="29" xfId="0" applyNumberFormat="1" applyFont="1" applyBorder="1"/>
    <xf numFmtId="0" fontId="18" fillId="0" borderId="24" xfId="0" applyFont="1" applyBorder="1"/>
    <xf numFmtId="164" fontId="18" fillId="0" borderId="28" xfId="0" applyNumberFormat="1" applyFont="1" applyBorder="1"/>
    <xf numFmtId="0" fontId="18" fillId="3" borderId="26" xfId="0" applyFont="1" applyFill="1" applyBorder="1"/>
    <xf numFmtId="165" fontId="17" fillId="0" borderId="30" xfId="0" applyNumberFormat="1" applyFont="1" applyBorder="1"/>
    <xf numFmtId="0" fontId="18" fillId="0" borderId="32" xfId="0" applyFont="1" applyBorder="1"/>
    <xf numFmtId="164" fontId="18" fillId="0" borderId="33" xfId="0" applyNumberFormat="1" applyFont="1" applyBorder="1"/>
    <xf numFmtId="0" fontId="18" fillId="0" borderId="33" xfId="0" applyFont="1" applyBorder="1"/>
    <xf numFmtId="164" fontId="18" fillId="0" borderId="36" xfId="0" applyNumberFormat="1" applyFont="1" applyBorder="1"/>
    <xf numFmtId="0" fontId="18" fillId="0" borderId="34" xfId="0" applyFont="1" applyBorder="1"/>
    <xf numFmtId="164" fontId="18" fillId="0" borderId="35" xfId="0" applyNumberFormat="1" applyFont="1" applyBorder="1"/>
    <xf numFmtId="0" fontId="17" fillId="0" borderId="32" xfId="0" applyFont="1" applyBorder="1"/>
    <xf numFmtId="164" fontId="17" fillId="3" borderId="33" xfId="0" applyNumberFormat="1" applyFont="1" applyFill="1" applyBorder="1"/>
    <xf numFmtId="0" fontId="17" fillId="0" borderId="33" xfId="0" applyFont="1" applyBorder="1"/>
    <xf numFmtId="0" fontId="17" fillId="3" borderId="34" xfId="0" applyFont="1" applyFill="1" applyBorder="1"/>
    <xf numFmtId="164" fontId="17" fillId="3" borderId="35" xfId="0" applyNumberFormat="1" applyFont="1" applyFill="1" applyBorder="1"/>
    <xf numFmtId="164" fontId="17" fillId="0" borderId="33" xfId="0" applyNumberFormat="1" applyFont="1" applyBorder="1"/>
    <xf numFmtId="164" fontId="17" fillId="0" borderId="36" xfId="0" applyNumberFormat="1" applyFont="1" applyBorder="1"/>
    <xf numFmtId="0" fontId="17" fillId="3" borderId="32" xfId="0" applyFont="1" applyFill="1" applyBorder="1"/>
    <xf numFmtId="164" fontId="17" fillId="3" borderId="22" xfId="0" applyNumberFormat="1" applyFont="1" applyFill="1" applyBorder="1"/>
    <xf numFmtId="0" fontId="17" fillId="0" borderId="22" xfId="0" applyFont="1" applyBorder="1"/>
    <xf numFmtId="1" fontId="18" fillId="3" borderId="7" xfId="0" applyNumberFormat="1" applyFont="1" applyFill="1" applyBorder="1"/>
    <xf numFmtId="0" fontId="17" fillId="3" borderId="33" xfId="0" applyFont="1" applyFill="1" applyBorder="1"/>
    <xf numFmtId="164" fontId="17" fillId="3" borderId="46" xfId="0" applyNumberFormat="1" applyFont="1" applyFill="1" applyBorder="1"/>
    <xf numFmtId="0" fontId="18" fillId="3" borderId="42" xfId="0" applyFont="1" applyFill="1" applyBorder="1"/>
    <xf numFmtId="164" fontId="18" fillId="3" borderId="43" xfId="0" applyNumberFormat="1" applyFont="1" applyFill="1" applyBorder="1"/>
    <xf numFmtId="165" fontId="18" fillId="2" borderId="40" xfId="0" applyNumberFormat="1" applyFont="1" applyFill="1" applyBorder="1"/>
    <xf numFmtId="1" fontId="18" fillId="3" borderId="27" xfId="0" applyNumberFormat="1" applyFont="1" applyFill="1" applyBorder="1"/>
    <xf numFmtId="1" fontId="18" fillId="3" borderId="24" xfId="0" applyNumberFormat="1" applyFont="1" applyFill="1" applyBorder="1"/>
    <xf numFmtId="0" fontId="5" fillId="5" borderId="17" xfId="0" applyFont="1" applyFill="1" applyBorder="1"/>
    <xf numFmtId="0" fontId="5" fillId="5" borderId="64" xfId="0" applyFont="1" applyFill="1" applyBorder="1"/>
    <xf numFmtId="0" fontId="5" fillId="5" borderId="30" xfId="0" applyFont="1" applyFill="1" applyBorder="1"/>
    <xf numFmtId="0" fontId="10" fillId="5" borderId="33" xfId="0" applyFont="1" applyFill="1" applyBorder="1"/>
    <xf numFmtId="0" fontId="5" fillId="5" borderId="18" xfId="0" applyFont="1" applyFill="1" applyBorder="1"/>
    <xf numFmtId="0" fontId="10" fillId="5" borderId="14" xfId="0" applyFont="1" applyFill="1" applyBorder="1"/>
    <xf numFmtId="0" fontId="10" fillId="5" borderId="26" xfId="0" applyFont="1" applyFill="1" applyBorder="1"/>
    <xf numFmtId="0" fontId="10" fillId="5" borderId="27" xfId="0" applyFont="1" applyFill="1" applyBorder="1"/>
    <xf numFmtId="0" fontId="10" fillId="5" borderId="29" xfId="0" applyFont="1" applyFill="1" applyBorder="1"/>
    <xf numFmtId="0" fontId="10" fillId="5" borderId="7" xfId="0" applyFont="1" applyFill="1" applyBorder="1"/>
    <xf numFmtId="0" fontId="5" fillId="5" borderId="32" xfId="0" applyFont="1" applyFill="1" applyBorder="1"/>
    <xf numFmtId="0" fontId="5" fillId="5" borderId="63" xfId="0" applyFont="1" applyFill="1" applyBorder="1"/>
    <xf numFmtId="0" fontId="5" fillId="5" borderId="33" xfId="0" applyFont="1" applyFill="1" applyBorder="1"/>
    <xf numFmtId="0" fontId="10" fillId="5" borderId="30" xfId="0" applyFont="1" applyFill="1" applyBorder="1"/>
    <xf numFmtId="0" fontId="5" fillId="5" borderId="38" xfId="0" applyFont="1" applyFill="1" applyBorder="1"/>
    <xf numFmtId="0" fontId="10" fillId="5" borderId="22" xfId="0" applyFont="1" applyFill="1" applyBorder="1"/>
    <xf numFmtId="0" fontId="5" fillId="5" borderId="22" xfId="0" applyFont="1" applyFill="1" applyBorder="1"/>
    <xf numFmtId="0" fontId="10" fillId="5" borderId="20" xfId="0" applyFont="1" applyFill="1" applyBorder="1"/>
    <xf numFmtId="0" fontId="10" fillId="5" borderId="55" xfId="0" applyFont="1" applyFill="1" applyBorder="1"/>
    <xf numFmtId="0" fontId="10" fillId="5" borderId="39" xfId="0" applyFont="1" applyFill="1" applyBorder="1"/>
    <xf numFmtId="0" fontId="5" fillId="0" borderId="48" xfId="0" applyFont="1" applyBorder="1" applyAlignment="1">
      <alignment horizontal="centerContinuous"/>
    </xf>
    <xf numFmtId="0" fontId="5" fillId="0" borderId="34" xfId="0" applyFont="1" applyBorder="1" applyAlignment="1">
      <alignment horizontal="centerContinuous"/>
    </xf>
    <xf numFmtId="0" fontId="5" fillId="0" borderId="35" xfId="0" applyFont="1" applyBorder="1" applyAlignment="1">
      <alignment horizontal="centerContinuous"/>
    </xf>
    <xf numFmtId="0" fontId="5" fillId="6" borderId="18" xfId="0" applyFont="1" applyFill="1" applyBorder="1"/>
    <xf numFmtId="0" fontId="10" fillId="0" borderId="4" xfId="0" applyFont="1" applyBorder="1" applyAlignment="1">
      <alignment horizontal="centerContinuous"/>
    </xf>
    <xf numFmtId="0" fontId="10" fillId="0" borderId="5" xfId="0" applyFont="1" applyBorder="1" applyAlignment="1">
      <alignment horizontal="center"/>
    </xf>
    <xf numFmtId="0" fontId="8" fillId="0" borderId="0" xfId="0" applyFont="1"/>
    <xf numFmtId="1" fontId="11" fillId="5" borderId="18" xfId="0" applyNumberFormat="1" applyFont="1" applyFill="1" applyBorder="1"/>
    <xf numFmtId="1" fontId="11" fillId="5" borderId="33" xfId="0" applyNumberFormat="1" applyFont="1" applyFill="1" applyBorder="1"/>
    <xf numFmtId="1" fontId="11" fillId="0" borderId="33" xfId="0" applyNumberFormat="1" applyFont="1" applyFill="1" applyBorder="1"/>
    <xf numFmtId="0" fontId="3" fillId="0" borderId="0" xfId="1" applyAlignment="1" applyProtection="1"/>
    <xf numFmtId="1" fontId="11" fillId="3" borderId="17" xfId="0" applyNumberFormat="1" applyFont="1" applyFill="1" applyBorder="1"/>
    <xf numFmtId="165" fontId="11" fillId="0" borderId="18" xfId="0" applyNumberFormat="1" applyFont="1" applyBorder="1" applyAlignment="1">
      <alignment wrapText="1"/>
    </xf>
    <xf numFmtId="0" fontId="11" fillId="0" borderId="19" xfId="0" applyNumberFormat="1" applyFont="1" applyBorder="1" applyProtection="1"/>
    <xf numFmtId="0" fontId="11" fillId="0" borderId="15" xfId="0" applyNumberFormat="1" applyFont="1" applyBorder="1" applyProtection="1"/>
    <xf numFmtId="0" fontId="11" fillId="0" borderId="16" xfId="0" applyNumberFormat="1" applyFont="1" applyBorder="1" applyProtection="1"/>
    <xf numFmtId="165" fontId="11" fillId="0" borderId="12" xfId="0" applyNumberFormat="1" applyFont="1" applyBorder="1"/>
    <xf numFmtId="165" fontId="11" fillId="0" borderId="13" xfId="0" applyNumberFormat="1" applyFont="1" applyBorder="1"/>
    <xf numFmtId="165" fontId="11" fillId="0" borderId="3" xfId="0" applyNumberFormat="1" applyFont="1" applyBorder="1"/>
    <xf numFmtId="165" fontId="11" fillId="0" borderId="15" xfId="0" applyNumberFormat="1" applyFont="1" applyBorder="1" applyAlignment="1">
      <alignment wrapText="1"/>
    </xf>
    <xf numFmtId="165" fontId="11" fillId="0" borderId="11" xfId="0" applyNumberFormat="1" applyFont="1" applyBorder="1"/>
    <xf numFmtId="165" fontId="12" fillId="0" borderId="13" xfId="0" applyNumberFormat="1" applyFont="1" applyBorder="1"/>
    <xf numFmtId="1" fontId="11" fillId="3" borderId="38" xfId="0" applyNumberFormat="1" applyFont="1" applyFill="1" applyBorder="1"/>
    <xf numFmtId="1" fontId="12" fillId="2" borderId="25" xfId="0" applyNumberFormat="1" applyFont="1" applyFill="1" applyBorder="1"/>
    <xf numFmtId="0" fontId="5" fillId="5" borderId="36" xfId="0" applyFont="1" applyFill="1" applyBorder="1"/>
    <xf numFmtId="0" fontId="5" fillId="5" borderId="14" xfId="0" applyFont="1" applyFill="1" applyBorder="1"/>
    <xf numFmtId="0" fontId="5" fillId="5" borderId="19" xfId="0" applyFont="1" applyFill="1" applyBorder="1"/>
    <xf numFmtId="0" fontId="10" fillId="5" borderId="18" xfId="0" applyFont="1" applyFill="1" applyBorder="1"/>
    <xf numFmtId="0" fontId="5" fillId="5" borderId="23" xfId="0" applyFont="1" applyFill="1" applyBorder="1"/>
    <xf numFmtId="1" fontId="11" fillId="5" borderId="17" xfId="0" applyNumberFormat="1" applyFont="1" applyFill="1" applyBorder="1"/>
    <xf numFmtId="1" fontId="11" fillId="5" borderId="32" xfId="0" applyNumberFormat="1" applyFont="1" applyFill="1" applyBorder="1"/>
    <xf numFmtId="1" fontId="12" fillId="5" borderId="26" xfId="0" applyNumberFormat="1" applyFont="1" applyFill="1" applyBorder="1"/>
    <xf numFmtId="1" fontId="12" fillId="5" borderId="27" xfId="0" applyNumberFormat="1" applyFont="1" applyFill="1" applyBorder="1"/>
    <xf numFmtId="0" fontId="3" fillId="0" borderId="0" xfId="1" quotePrefix="1" applyAlignment="1" applyProtection="1">
      <protection locked="0"/>
    </xf>
    <xf numFmtId="165" fontId="9" fillId="7" borderId="30" xfId="0" applyNumberFormat="1" applyFont="1" applyFill="1" applyBorder="1"/>
    <xf numFmtId="165" fontId="9" fillId="7" borderId="4" xfId="0" applyNumberFormat="1" applyFont="1" applyFill="1" applyBorder="1"/>
    <xf numFmtId="165" fontId="9" fillId="7" borderId="31" xfId="0" applyNumberFormat="1" applyFont="1" applyFill="1" applyBorder="1"/>
    <xf numFmtId="1" fontId="11" fillId="7" borderId="32" xfId="0" applyNumberFormat="1" applyFont="1" applyFill="1" applyBorder="1"/>
    <xf numFmtId="1" fontId="11" fillId="7" borderId="33" xfId="0" applyNumberFormat="1" applyFont="1" applyFill="1" applyBorder="1"/>
    <xf numFmtId="1" fontId="11" fillId="7" borderId="34" xfId="0" applyNumberFormat="1" applyFont="1" applyFill="1" applyBorder="1"/>
    <xf numFmtId="1" fontId="11" fillId="7" borderId="35" xfId="0" applyNumberFormat="1" applyFont="1" applyFill="1" applyBorder="1"/>
    <xf numFmtId="165" fontId="11" fillId="7" borderId="33" xfId="0" applyNumberFormat="1" applyFont="1" applyFill="1" applyBorder="1"/>
    <xf numFmtId="165" fontId="11" fillId="7" borderId="34" xfId="0" applyNumberFormat="1" applyFont="1" applyFill="1" applyBorder="1"/>
    <xf numFmtId="165" fontId="11" fillId="7" borderId="35" xfId="0" applyNumberFormat="1" applyFont="1" applyFill="1" applyBorder="1"/>
    <xf numFmtId="165" fontId="11" fillId="7" borderId="36" xfId="0" applyNumberFormat="1" applyFont="1" applyFill="1" applyBorder="1"/>
    <xf numFmtId="165" fontId="9" fillId="7" borderId="20" xfId="0" applyNumberFormat="1" applyFont="1" applyFill="1" applyBorder="1"/>
    <xf numFmtId="165" fontId="9" fillId="7" borderId="8" xfId="0" applyNumberFormat="1" applyFont="1" applyFill="1" applyBorder="1"/>
    <xf numFmtId="165" fontId="9" fillId="7" borderId="9" xfId="0" applyNumberFormat="1" applyFont="1" applyFill="1" applyBorder="1"/>
    <xf numFmtId="165" fontId="11" fillId="7" borderId="38" xfId="0" applyNumberFormat="1" applyFont="1" applyFill="1" applyBorder="1"/>
    <xf numFmtId="165" fontId="11" fillId="7" borderId="22" xfId="0" applyNumberFormat="1" applyFont="1" applyFill="1" applyBorder="1"/>
    <xf numFmtId="165" fontId="11" fillId="7" borderId="23" xfId="0" applyNumberFormat="1" applyFont="1" applyFill="1" applyBorder="1"/>
    <xf numFmtId="165" fontId="11" fillId="7" borderId="8" xfId="0" applyNumberFormat="1" applyFont="1" applyFill="1" applyBorder="1"/>
    <xf numFmtId="165" fontId="11" fillId="7" borderId="9" xfId="0" applyNumberFormat="1" applyFont="1" applyFill="1" applyBorder="1"/>
    <xf numFmtId="1" fontId="11" fillId="7" borderId="38" xfId="0" applyNumberFormat="1" applyFont="1" applyFill="1" applyBorder="1"/>
    <xf numFmtId="1" fontId="11" fillId="7" borderId="8" xfId="0" applyNumberFormat="1" applyFont="1" applyFill="1" applyBorder="1"/>
    <xf numFmtId="1" fontId="11" fillId="7" borderId="9" xfId="0" applyNumberFormat="1" applyFont="1" applyFill="1" applyBorder="1"/>
    <xf numFmtId="165" fontId="5" fillId="7" borderId="14" xfId="0" applyNumberFormat="1" applyFont="1" applyFill="1" applyBorder="1"/>
    <xf numFmtId="0" fontId="5" fillId="7" borderId="15" xfId="0" applyFont="1" applyFill="1" applyBorder="1"/>
    <xf numFmtId="164" fontId="5" fillId="7" borderId="16" xfId="0" applyNumberFormat="1" applyFont="1" applyFill="1" applyBorder="1"/>
    <xf numFmtId="0" fontId="5" fillId="7" borderId="18" xfId="0" applyFont="1" applyFill="1" applyBorder="1"/>
    <xf numFmtId="164" fontId="5" fillId="7" borderId="18" xfId="0" applyNumberFormat="1" applyFont="1" applyFill="1" applyBorder="1"/>
    <xf numFmtId="165" fontId="5" fillId="7" borderId="20" xfId="0" applyNumberFormat="1" applyFont="1" applyFill="1" applyBorder="1"/>
    <xf numFmtId="0" fontId="10" fillId="7" borderId="8" xfId="0" applyFont="1" applyFill="1" applyBorder="1"/>
    <xf numFmtId="164" fontId="10" fillId="7" borderId="9" xfId="0" applyNumberFormat="1" applyFont="1" applyFill="1" applyBorder="1"/>
    <xf numFmtId="0" fontId="10" fillId="7" borderId="38" xfId="0" applyFont="1" applyFill="1" applyBorder="1"/>
    <xf numFmtId="164" fontId="10" fillId="7" borderId="22" xfId="0" applyNumberFormat="1" applyFont="1" applyFill="1" applyBorder="1"/>
    <xf numFmtId="0" fontId="10" fillId="7" borderId="22" xfId="0" applyFont="1" applyFill="1" applyBorder="1"/>
    <xf numFmtId="164" fontId="10" fillId="7" borderId="23" xfId="0" applyNumberFormat="1" applyFont="1" applyFill="1" applyBorder="1"/>
    <xf numFmtId="0" fontId="5" fillId="7" borderId="38" xfId="0" applyFont="1" applyFill="1" applyBorder="1"/>
    <xf numFmtId="164" fontId="5" fillId="7" borderId="22" xfId="0" applyNumberFormat="1" applyFont="1" applyFill="1" applyBorder="1"/>
    <xf numFmtId="0" fontId="5" fillId="7" borderId="22" xfId="0" applyFont="1" applyFill="1" applyBorder="1"/>
    <xf numFmtId="0" fontId="5" fillId="7" borderId="8" xfId="0" applyFont="1" applyFill="1" applyBorder="1"/>
    <xf numFmtId="164" fontId="5" fillId="7" borderId="9" xfId="0" applyNumberFormat="1" applyFont="1" applyFill="1" applyBorder="1"/>
    <xf numFmtId="164" fontId="5" fillId="7" borderId="23" xfId="0" applyNumberFormat="1" applyFont="1" applyFill="1" applyBorder="1"/>
    <xf numFmtId="0" fontId="5" fillId="7" borderId="32" xfId="0" applyFont="1" applyFill="1" applyBorder="1"/>
    <xf numFmtId="165" fontId="5" fillId="7" borderId="55" xfId="0" applyNumberFormat="1" applyFont="1" applyFill="1" applyBorder="1"/>
    <xf numFmtId="1" fontId="10" fillId="7" borderId="4" xfId="0" applyNumberFormat="1" applyFont="1" applyFill="1" applyBorder="1"/>
    <xf numFmtId="1" fontId="10" fillId="7" borderId="5" xfId="0" applyNumberFormat="1" applyFont="1" applyFill="1" applyBorder="1"/>
    <xf numFmtId="1" fontId="5" fillId="7" borderId="2" xfId="0" applyNumberFormat="1" applyFont="1" applyFill="1" applyBorder="1"/>
    <xf numFmtId="164" fontId="5" fillId="7" borderId="3" xfId="0" applyNumberFormat="1" applyFont="1" applyFill="1" applyBorder="1"/>
    <xf numFmtId="1" fontId="5" fillId="7" borderId="3" xfId="0" applyNumberFormat="1" applyFont="1" applyFill="1" applyBorder="1"/>
    <xf numFmtId="164" fontId="5" fillId="7" borderId="36" xfId="0" applyNumberFormat="1" applyFont="1" applyFill="1" applyBorder="1"/>
    <xf numFmtId="1" fontId="5" fillId="7" borderId="4" xfId="0" applyNumberFormat="1" applyFont="1" applyFill="1" applyBorder="1"/>
    <xf numFmtId="164" fontId="5" fillId="7" borderId="5" xfId="0" applyNumberFormat="1" applyFont="1" applyFill="1" applyBorder="1"/>
    <xf numFmtId="164" fontId="5" fillId="7" borderId="6" xfId="0" applyNumberFormat="1" applyFont="1" applyFill="1" applyBorder="1"/>
    <xf numFmtId="1" fontId="10" fillId="7" borderId="2" xfId="0" applyNumberFormat="1" applyFont="1" applyFill="1" applyBorder="1"/>
    <xf numFmtId="164" fontId="10" fillId="7" borderId="3" xfId="0" applyNumberFormat="1" applyFont="1" applyFill="1" applyBorder="1"/>
    <xf numFmtId="1" fontId="10" fillId="7" borderId="3" xfId="0" applyNumberFormat="1" applyFont="1" applyFill="1" applyBorder="1"/>
    <xf numFmtId="165" fontId="10" fillId="7" borderId="3" xfId="0" applyNumberFormat="1" applyFont="1" applyFill="1" applyBorder="1"/>
    <xf numFmtId="164" fontId="10" fillId="7" borderId="5" xfId="0" applyNumberFormat="1" applyFont="1" applyFill="1" applyBorder="1"/>
    <xf numFmtId="165" fontId="5" fillId="7" borderId="40" xfId="0" applyNumberFormat="1" applyFont="1" applyFill="1" applyBorder="1"/>
    <xf numFmtId="1" fontId="5" fillId="7" borderId="12" xfId="0" applyNumberFormat="1" applyFont="1" applyFill="1" applyBorder="1"/>
    <xf numFmtId="1" fontId="5" fillId="7" borderId="13" xfId="0" applyNumberFormat="1" applyFont="1" applyFill="1" applyBorder="1"/>
    <xf numFmtId="1" fontId="5" fillId="7" borderId="10" xfId="0" applyNumberFormat="1" applyFont="1" applyFill="1" applyBorder="1"/>
    <xf numFmtId="164" fontId="5" fillId="7" borderId="11" xfId="0" applyNumberFormat="1" applyFont="1" applyFill="1" applyBorder="1"/>
    <xf numFmtId="1" fontId="5" fillId="7" borderId="11" xfId="0" applyNumberFormat="1" applyFont="1" applyFill="1" applyBorder="1"/>
    <xf numFmtId="164" fontId="5" fillId="7" borderId="45" xfId="0" applyNumberFormat="1" applyFont="1" applyFill="1" applyBorder="1"/>
    <xf numFmtId="164" fontId="5" fillId="7" borderId="74" xfId="0" applyNumberFormat="1" applyFont="1" applyFill="1" applyBorder="1"/>
    <xf numFmtId="164" fontId="5" fillId="7" borderId="13" xfId="0" applyNumberFormat="1" applyFont="1" applyFill="1" applyBorder="1"/>
    <xf numFmtId="1" fontId="10" fillId="7" borderId="10" xfId="0" applyNumberFormat="1" applyFont="1" applyFill="1" applyBorder="1"/>
    <xf numFmtId="164" fontId="10" fillId="7" borderId="11" xfId="0" applyNumberFormat="1" applyFont="1" applyFill="1" applyBorder="1"/>
    <xf numFmtId="1" fontId="10" fillId="7" borderId="11" xfId="0" applyNumberFormat="1" applyFont="1" applyFill="1" applyBorder="1"/>
    <xf numFmtId="165" fontId="10" fillId="7" borderId="11" xfId="0" applyNumberFormat="1" applyFont="1" applyFill="1" applyBorder="1"/>
    <xf numFmtId="164" fontId="10" fillId="7" borderId="13" xfId="0" applyNumberFormat="1" applyFont="1" applyFill="1" applyBorder="1"/>
    <xf numFmtId="165" fontId="10" fillId="7" borderId="7" xfId="0" applyNumberFormat="1" applyFont="1" applyFill="1" applyBorder="1"/>
    <xf numFmtId="1" fontId="10" fillId="7" borderId="44" xfId="0" applyNumberFormat="1" applyFont="1" applyFill="1" applyBorder="1"/>
    <xf numFmtId="1" fontId="10" fillId="7" borderId="45" xfId="0" applyNumberFormat="1" applyFont="1" applyFill="1" applyBorder="1"/>
    <xf numFmtId="1" fontId="10" fillId="7" borderId="68" xfId="0" applyNumberFormat="1" applyFont="1" applyFill="1" applyBorder="1"/>
    <xf numFmtId="164" fontId="10" fillId="7" borderId="73" xfId="0" applyNumberFormat="1" applyFont="1" applyFill="1" applyBorder="1"/>
    <xf numFmtId="1" fontId="10" fillId="7" borderId="73" xfId="0" applyNumberFormat="1" applyFont="1" applyFill="1" applyBorder="1"/>
    <xf numFmtId="164" fontId="10" fillId="7" borderId="45" xfId="0" applyNumberFormat="1" applyFont="1" applyFill="1" applyBorder="1"/>
    <xf numFmtId="165" fontId="10" fillId="7" borderId="44" xfId="0" applyNumberFormat="1" applyFont="1" applyFill="1" applyBorder="1"/>
    <xf numFmtId="164" fontId="10" fillId="7" borderId="75" xfId="0" applyNumberFormat="1" applyFont="1" applyFill="1" applyBorder="1"/>
    <xf numFmtId="165" fontId="5" fillId="7" borderId="30" xfId="0" applyNumberFormat="1" applyFont="1" applyFill="1" applyBorder="1"/>
    <xf numFmtId="0" fontId="5" fillId="7" borderId="33" xfId="0" applyFont="1" applyFill="1" applyBorder="1"/>
    <xf numFmtId="164" fontId="5" fillId="7" borderId="33" xfId="0" applyNumberFormat="1" applyFont="1" applyFill="1" applyBorder="1"/>
    <xf numFmtId="0" fontId="5" fillId="7" borderId="34" xfId="0" applyFont="1" applyFill="1" applyBorder="1"/>
    <xf numFmtId="164" fontId="5" fillId="7" borderId="35" xfId="0" applyNumberFormat="1" applyFont="1" applyFill="1" applyBorder="1"/>
    <xf numFmtId="165" fontId="5" fillId="7" borderId="53" xfId="0" applyNumberFormat="1" applyFont="1" applyFill="1" applyBorder="1"/>
    <xf numFmtId="164" fontId="10" fillId="7" borderId="6" xfId="0" applyNumberFormat="1" applyFont="1" applyFill="1" applyBorder="1"/>
    <xf numFmtId="165" fontId="10" fillId="7" borderId="4" xfId="0" applyNumberFormat="1" applyFont="1" applyFill="1" applyBorder="1"/>
    <xf numFmtId="165" fontId="5" fillId="7" borderId="72" xfId="0" applyNumberFormat="1" applyFont="1" applyFill="1" applyBorder="1"/>
    <xf numFmtId="164" fontId="10" fillId="7" borderId="74" xfId="0" applyNumberFormat="1" applyFont="1" applyFill="1" applyBorder="1"/>
    <xf numFmtId="165" fontId="10" fillId="7" borderId="12" xfId="0" applyNumberFormat="1" applyFont="1" applyFill="1" applyBorder="1"/>
    <xf numFmtId="1" fontId="10" fillId="7" borderId="26" xfId="0" applyNumberFormat="1" applyFont="1" applyFill="1" applyBorder="1"/>
    <xf numFmtId="1" fontId="10" fillId="7" borderId="27" xfId="0" applyNumberFormat="1" applyFont="1" applyFill="1" applyBorder="1"/>
    <xf numFmtId="164" fontId="10" fillId="7" borderId="27" xfId="0" applyNumberFormat="1" applyFont="1" applyFill="1" applyBorder="1"/>
    <xf numFmtId="1" fontId="10" fillId="7" borderId="24" xfId="0" applyNumberFormat="1" applyFont="1" applyFill="1" applyBorder="1"/>
    <xf numFmtId="164" fontId="10" fillId="7" borderId="28" xfId="0" applyNumberFormat="1" applyFont="1" applyFill="1" applyBorder="1"/>
    <xf numFmtId="164" fontId="10" fillId="7" borderId="33" xfId="0" applyNumberFormat="1" applyFont="1" applyFill="1" applyBorder="1"/>
    <xf numFmtId="165" fontId="10" fillId="7" borderId="24" xfId="0" applyNumberFormat="1" applyFont="1" applyFill="1" applyBorder="1"/>
    <xf numFmtId="164" fontId="10" fillId="7" borderId="29" xfId="0" applyNumberFormat="1" applyFont="1" applyFill="1" applyBorder="1"/>
    <xf numFmtId="1" fontId="11" fillId="7" borderId="18" xfId="0" applyNumberFormat="1" applyFont="1" applyFill="1" applyBorder="1"/>
    <xf numFmtId="165" fontId="17" fillId="7" borderId="14" xfId="0" applyNumberFormat="1" applyFont="1" applyFill="1" applyBorder="1"/>
    <xf numFmtId="0" fontId="17" fillId="7" borderId="18" xfId="0" applyFont="1" applyFill="1" applyBorder="1"/>
    <xf numFmtId="164" fontId="17" fillId="7" borderId="18" xfId="0" applyNumberFormat="1" applyFont="1" applyFill="1" applyBorder="1"/>
    <xf numFmtId="0" fontId="17" fillId="7" borderId="15" xfId="0" applyFont="1" applyFill="1" applyBorder="1"/>
    <xf numFmtId="164" fontId="17" fillId="7" borderId="16" xfId="0" applyNumberFormat="1" applyFont="1" applyFill="1" applyBorder="1"/>
    <xf numFmtId="164" fontId="17" fillId="7" borderId="19" xfId="0" applyNumberFormat="1" applyFont="1" applyFill="1" applyBorder="1"/>
    <xf numFmtId="165" fontId="17" fillId="7" borderId="20" xfId="0" applyNumberFormat="1" applyFont="1" applyFill="1" applyBorder="1"/>
    <xf numFmtId="0" fontId="18" fillId="7" borderId="38" xfId="0" applyFont="1" applyFill="1" applyBorder="1"/>
    <xf numFmtId="164" fontId="18" fillId="7" borderId="22" xfId="0" applyNumberFormat="1" applyFont="1" applyFill="1" applyBorder="1"/>
    <xf numFmtId="0" fontId="18" fillId="7" borderId="22" xfId="0" applyFont="1" applyFill="1" applyBorder="1"/>
    <xf numFmtId="164" fontId="18" fillId="7" borderId="23" xfId="0" applyNumberFormat="1" applyFont="1" applyFill="1" applyBorder="1"/>
    <xf numFmtId="0" fontId="18" fillId="7" borderId="8" xfId="0" applyFont="1" applyFill="1" applyBorder="1"/>
    <xf numFmtId="164" fontId="18" fillId="7" borderId="9" xfId="0" applyNumberFormat="1" applyFont="1" applyFill="1" applyBorder="1"/>
    <xf numFmtId="0" fontId="17" fillId="7" borderId="38" xfId="0" applyFont="1" applyFill="1" applyBorder="1"/>
    <xf numFmtId="164" fontId="17" fillId="7" borderId="22" xfId="0" applyNumberFormat="1" applyFont="1" applyFill="1" applyBorder="1"/>
    <xf numFmtId="0" fontId="17" fillId="7" borderId="22" xfId="0" applyFont="1" applyFill="1" applyBorder="1"/>
    <xf numFmtId="0" fontId="17" fillId="7" borderId="8" xfId="0" applyFont="1" applyFill="1" applyBorder="1"/>
    <xf numFmtId="164" fontId="17" fillId="7" borderId="9" xfId="0" applyNumberFormat="1" applyFont="1" applyFill="1" applyBorder="1"/>
    <xf numFmtId="164" fontId="17" fillId="7" borderId="23" xfId="0" applyNumberFormat="1" applyFont="1" applyFill="1" applyBorder="1"/>
    <xf numFmtId="0" fontId="17" fillId="7" borderId="32" xfId="0" applyFont="1" applyFill="1" applyBorder="1"/>
    <xf numFmtId="165" fontId="17" fillId="7" borderId="55" xfId="0" applyNumberFormat="1" applyFont="1" applyFill="1" applyBorder="1"/>
    <xf numFmtId="1" fontId="17" fillId="7" borderId="2" xfId="0" applyNumberFormat="1" applyFont="1" applyFill="1" applyBorder="1"/>
    <xf numFmtId="164" fontId="17" fillId="7" borderId="3" xfId="0" applyNumberFormat="1" applyFont="1" applyFill="1" applyBorder="1"/>
    <xf numFmtId="1" fontId="17" fillId="7" borderId="3" xfId="0" applyNumberFormat="1" applyFont="1" applyFill="1" applyBorder="1"/>
    <xf numFmtId="164" fontId="17" fillId="7" borderId="6" xfId="0" applyNumberFormat="1" applyFont="1" applyFill="1" applyBorder="1"/>
    <xf numFmtId="1" fontId="17" fillId="7" borderId="4" xfId="0" applyNumberFormat="1" applyFont="1" applyFill="1" applyBorder="1"/>
    <xf numFmtId="164" fontId="17" fillId="7" borderId="5" xfId="0" applyNumberFormat="1" applyFont="1" applyFill="1" applyBorder="1"/>
    <xf numFmtId="1" fontId="18" fillId="7" borderId="2" xfId="0" applyNumberFormat="1" applyFont="1" applyFill="1" applyBorder="1"/>
    <xf numFmtId="164" fontId="18" fillId="7" borderId="3" xfId="0" applyNumberFormat="1" applyFont="1" applyFill="1" applyBorder="1"/>
    <xf numFmtId="1" fontId="18" fillId="7" borderId="3" xfId="0" applyNumberFormat="1" applyFont="1" applyFill="1" applyBorder="1"/>
    <xf numFmtId="165" fontId="18" fillId="7" borderId="3" xfId="0" applyNumberFormat="1" applyFont="1" applyFill="1" applyBorder="1"/>
    <xf numFmtId="164" fontId="18" fillId="7" borderId="5" xfId="0" applyNumberFormat="1" applyFont="1" applyFill="1" applyBorder="1"/>
    <xf numFmtId="165" fontId="17" fillId="7" borderId="40" xfId="0" applyNumberFormat="1" applyFont="1" applyFill="1" applyBorder="1"/>
    <xf numFmtId="164" fontId="17" fillId="7" borderId="11" xfId="0" applyNumberFormat="1" applyFont="1" applyFill="1" applyBorder="1"/>
    <xf numFmtId="1" fontId="17" fillId="7" borderId="12" xfId="0" applyNumberFormat="1" applyFont="1" applyFill="1" applyBorder="1"/>
    <xf numFmtId="164" fontId="17" fillId="7" borderId="13" xfId="0" applyNumberFormat="1" applyFont="1" applyFill="1" applyBorder="1"/>
    <xf numFmtId="1" fontId="17" fillId="7" borderId="11" xfId="0" applyNumberFormat="1" applyFont="1" applyFill="1" applyBorder="1"/>
    <xf numFmtId="164" fontId="17" fillId="7" borderId="74" xfId="0" applyNumberFormat="1" applyFont="1" applyFill="1" applyBorder="1"/>
    <xf numFmtId="1" fontId="18" fillId="7" borderId="10" xfId="0" applyNumberFormat="1" applyFont="1" applyFill="1" applyBorder="1"/>
    <xf numFmtId="164" fontId="18" fillId="7" borderId="11" xfId="0" applyNumberFormat="1" applyFont="1" applyFill="1" applyBorder="1"/>
    <xf numFmtId="1" fontId="18" fillId="7" borderId="11" xfId="0" applyNumberFormat="1" applyFont="1" applyFill="1" applyBorder="1"/>
    <xf numFmtId="165" fontId="18" fillId="7" borderId="11" xfId="0" applyNumberFormat="1" applyFont="1" applyFill="1" applyBorder="1"/>
    <xf numFmtId="164" fontId="18" fillId="7" borderId="13" xfId="0" applyNumberFormat="1" applyFont="1" applyFill="1" applyBorder="1"/>
    <xf numFmtId="1" fontId="17" fillId="7" borderId="10" xfId="0" applyNumberFormat="1" applyFont="1" applyFill="1" applyBorder="1"/>
    <xf numFmtId="165" fontId="18" fillId="7" borderId="7" xfId="0" applyNumberFormat="1" applyFont="1" applyFill="1" applyBorder="1"/>
    <xf numFmtId="1" fontId="18" fillId="7" borderId="68" xfId="0" applyNumberFormat="1" applyFont="1" applyFill="1" applyBorder="1"/>
    <xf numFmtId="164" fontId="18" fillId="7" borderId="73" xfId="0" applyNumberFormat="1" applyFont="1" applyFill="1" applyBorder="1"/>
    <xf numFmtId="1" fontId="18" fillId="7" borderId="73" xfId="0" applyNumberFormat="1" applyFont="1" applyFill="1" applyBorder="1"/>
    <xf numFmtId="1" fontId="18" fillId="7" borderId="44" xfId="0" applyNumberFormat="1" applyFont="1" applyFill="1" applyBorder="1"/>
    <xf numFmtId="164" fontId="18" fillId="7" borderId="45" xfId="0" applyNumberFormat="1" applyFont="1" applyFill="1" applyBorder="1"/>
    <xf numFmtId="164" fontId="18" fillId="7" borderId="27" xfId="0" applyNumberFormat="1" applyFont="1" applyFill="1" applyBorder="1"/>
    <xf numFmtId="165" fontId="18" fillId="7" borderId="44" xfId="0" applyNumberFormat="1" applyFont="1" applyFill="1" applyBorder="1"/>
    <xf numFmtId="164" fontId="18" fillId="7" borderId="75" xfId="0" applyNumberFormat="1" applyFont="1" applyFill="1" applyBorder="1"/>
    <xf numFmtId="0" fontId="5" fillId="7" borderId="15" xfId="0" applyFont="1" applyFill="1" applyBorder="1" applyAlignment="1">
      <alignment horizontal="left"/>
    </xf>
    <xf numFmtId="166" fontId="5" fillId="7" borderId="14" xfId="2" applyNumberFormat="1" applyFont="1" applyFill="1" applyBorder="1"/>
    <xf numFmtId="0" fontId="5" fillId="7" borderId="14" xfId="0" applyFont="1" applyFill="1" applyBorder="1"/>
    <xf numFmtId="0" fontId="5" fillId="7" borderId="19" xfId="0" applyFont="1" applyFill="1" applyBorder="1"/>
    <xf numFmtId="0" fontId="5" fillId="7" borderId="17" xfId="0" applyFont="1" applyFill="1" applyBorder="1"/>
    <xf numFmtId="0" fontId="5" fillId="7" borderId="16" xfId="0" applyFont="1" applyFill="1" applyBorder="1"/>
    <xf numFmtId="0" fontId="5" fillId="7" borderId="56" xfId="0" applyFont="1" applyFill="1" applyBorder="1"/>
    <xf numFmtId="0" fontId="10" fillId="7" borderId="14" xfId="0" applyFont="1" applyFill="1" applyBorder="1"/>
    <xf numFmtId="0" fontId="5" fillId="7" borderId="64" xfId="0" applyFont="1" applyFill="1" applyBorder="1"/>
    <xf numFmtId="0" fontId="5" fillId="7" borderId="7" xfId="0" applyFont="1" applyFill="1" applyBorder="1"/>
    <xf numFmtId="0" fontId="5" fillId="7" borderId="2" xfId="0" applyFont="1" applyFill="1" applyBorder="1"/>
    <xf numFmtId="0" fontId="5" fillId="7" borderId="76" xfId="0" applyFont="1" applyFill="1" applyBorder="1"/>
    <xf numFmtId="0" fontId="10" fillId="7" borderId="60" xfId="0" applyFont="1" applyFill="1" applyBorder="1"/>
    <xf numFmtId="1" fontId="5" fillId="7" borderId="34" xfId="0" applyNumberFormat="1" applyFont="1" applyFill="1" applyBorder="1"/>
    <xf numFmtId="0" fontId="10" fillId="7" borderId="30" xfId="0" applyFont="1" applyFill="1" applyBorder="1"/>
    <xf numFmtId="1" fontId="5" fillId="7" borderId="36" xfId="0" applyNumberFormat="1" applyFont="1" applyFill="1" applyBorder="1"/>
    <xf numFmtId="1" fontId="5" fillId="7" borderId="67" xfId="0" applyNumberFormat="1" applyFont="1" applyFill="1" applyBorder="1"/>
    <xf numFmtId="0" fontId="5" fillId="7" borderId="36" xfId="0" applyFont="1" applyFill="1" applyBorder="1"/>
    <xf numFmtId="0" fontId="5" fillId="7" borderId="30" xfId="0" applyFont="1" applyFill="1" applyBorder="1"/>
    <xf numFmtId="0" fontId="5" fillId="7" borderId="63" xfId="0" applyFont="1" applyFill="1" applyBorder="1"/>
    <xf numFmtId="0" fontId="5" fillId="7" borderId="27" xfId="0" applyFont="1" applyFill="1" applyBorder="1"/>
    <xf numFmtId="0" fontId="5" fillId="7" borderId="29" xfId="0" applyFont="1" applyFill="1" applyBorder="1"/>
    <xf numFmtId="0" fontId="5" fillId="7" borderId="39" xfId="0" applyFont="1" applyFill="1" applyBorder="1"/>
    <xf numFmtId="0" fontId="5" fillId="7" borderId="26" xfId="0" applyFont="1" applyFill="1" applyBorder="1"/>
    <xf numFmtId="0" fontId="5" fillId="7" borderId="55" xfId="0" applyFont="1" applyFill="1" applyBorder="1"/>
    <xf numFmtId="0" fontId="5" fillId="7" borderId="3" xfId="0" applyFont="1" applyFill="1" applyBorder="1"/>
    <xf numFmtId="0" fontId="5" fillId="7" borderId="6" xfId="0" applyFont="1" applyFill="1" applyBorder="1"/>
    <xf numFmtId="0" fontId="10" fillId="7" borderId="55" xfId="0" applyFont="1" applyFill="1" applyBorder="1"/>
    <xf numFmtId="0" fontId="5" fillId="7" borderId="54" xfId="0" applyFont="1" applyFill="1" applyBorder="1"/>
    <xf numFmtId="0" fontId="5" fillId="7" borderId="70" xfId="0" applyFont="1" applyFill="1" applyBorder="1"/>
    <xf numFmtId="0" fontId="10" fillId="7" borderId="20" xfId="0" applyFont="1" applyFill="1" applyBorder="1"/>
    <xf numFmtId="0" fontId="5" fillId="7" borderId="23" xfId="0" applyFont="1" applyFill="1" applyBorder="1"/>
    <xf numFmtId="0" fontId="5" fillId="7" borderId="46" xfId="0" applyFont="1" applyFill="1" applyBorder="1"/>
    <xf numFmtId="0" fontId="5" fillId="7" borderId="48" xfId="0" applyFont="1" applyFill="1" applyBorder="1"/>
    <xf numFmtId="0" fontId="5" fillId="7" borderId="0" xfId="0" applyFont="1" applyFill="1" applyBorder="1"/>
    <xf numFmtId="0" fontId="5" fillId="7" borderId="60" xfId="0" applyFont="1" applyFill="1" applyBorder="1"/>
    <xf numFmtId="0" fontId="5" fillId="7" borderId="59" xfId="0" applyFont="1" applyFill="1" applyBorder="1"/>
    <xf numFmtId="0" fontId="5" fillId="7" borderId="20" xfId="0" applyFont="1" applyFill="1" applyBorder="1"/>
    <xf numFmtId="0" fontId="5" fillId="7" borderId="62" xfId="0" applyFont="1" applyFill="1" applyBorder="1"/>
    <xf numFmtId="0" fontId="5" fillId="7" borderId="40" xfId="0" applyFont="1" applyFill="1" applyBorder="1"/>
    <xf numFmtId="0" fontId="5" fillId="7" borderId="21" xfId="0" applyFont="1" applyFill="1" applyBorder="1"/>
    <xf numFmtId="1" fontId="5" fillId="7" borderId="15" xfId="0" applyNumberFormat="1" applyFont="1" applyFill="1" applyBorder="1"/>
    <xf numFmtId="164" fontId="5" fillId="7" borderId="37" xfId="0" applyNumberFormat="1" applyFont="1" applyFill="1" applyBorder="1"/>
    <xf numFmtId="0" fontId="5" fillId="7" borderId="18" xfId="0" applyFont="1" applyFill="1" applyBorder="1" applyAlignment="1">
      <alignment horizontal="right"/>
    </xf>
    <xf numFmtId="0" fontId="10" fillId="7" borderId="16" xfId="0" applyFont="1" applyFill="1" applyBorder="1" applyAlignment="1">
      <alignment horizontal="right"/>
    </xf>
    <xf numFmtId="1" fontId="12" fillId="5" borderId="24" xfId="0" applyNumberFormat="1" applyFont="1" applyFill="1" applyBorder="1"/>
    <xf numFmtId="1" fontId="12" fillId="5" borderId="28" xfId="0" applyNumberFormat="1" applyFont="1" applyFill="1" applyBorder="1"/>
    <xf numFmtId="1" fontId="12" fillId="5" borderId="29" xfId="0" applyNumberFormat="1" applyFont="1" applyFill="1" applyBorder="1"/>
    <xf numFmtId="165" fontId="12" fillId="5" borderId="26" xfId="0" applyNumberFormat="1" applyFont="1" applyFill="1" applyBorder="1"/>
    <xf numFmtId="165" fontId="12" fillId="5" borderId="27" xfId="0" applyNumberFormat="1" applyFont="1" applyFill="1" applyBorder="1"/>
    <xf numFmtId="165" fontId="12" fillId="5" borderId="29" xfId="0" applyNumberFormat="1" applyFont="1" applyFill="1" applyBorder="1"/>
    <xf numFmtId="165" fontId="12" fillId="5" borderId="24" xfId="0" applyNumberFormat="1" applyFont="1" applyFill="1" applyBorder="1"/>
    <xf numFmtId="165" fontId="12" fillId="5" borderId="28" xfId="0" applyNumberFormat="1" applyFont="1" applyFill="1" applyBorder="1"/>
    <xf numFmtId="164" fontId="10" fillId="5" borderId="27" xfId="0" applyNumberFormat="1" applyFont="1" applyFill="1" applyBorder="1"/>
    <xf numFmtId="164" fontId="10" fillId="5" borderId="29" xfId="0" applyNumberFormat="1" applyFont="1" applyFill="1" applyBorder="1"/>
    <xf numFmtId="0" fontId="10" fillId="5" borderId="24" xfId="0" applyFont="1" applyFill="1" applyBorder="1"/>
    <xf numFmtId="164" fontId="10" fillId="5" borderId="28" xfId="0" applyNumberFormat="1" applyFont="1" applyFill="1" applyBorder="1"/>
    <xf numFmtId="0" fontId="18" fillId="5" borderId="26" xfId="0" applyFont="1" applyFill="1" applyBorder="1"/>
    <xf numFmtId="164" fontId="18" fillId="5" borderId="27" xfId="0" applyNumberFormat="1" applyFont="1" applyFill="1" applyBorder="1"/>
    <xf numFmtId="0" fontId="18" fillId="5" borderId="27" xfId="0" applyFont="1" applyFill="1" applyBorder="1"/>
    <xf numFmtId="164" fontId="18" fillId="5" borderId="29" xfId="0" applyNumberFormat="1" applyFont="1" applyFill="1" applyBorder="1"/>
    <xf numFmtId="0" fontId="18" fillId="5" borderId="24" xfId="0" applyFont="1" applyFill="1" applyBorder="1"/>
    <xf numFmtId="164" fontId="18" fillId="5" borderId="28" xfId="0" applyNumberFormat="1" applyFont="1" applyFill="1" applyBorder="1"/>
    <xf numFmtId="0" fontId="10" fillId="7" borderId="27" xfId="0" applyFont="1" applyFill="1" applyBorder="1"/>
    <xf numFmtId="0" fontId="17" fillId="5" borderId="33" xfId="0" applyFont="1" applyFill="1" applyBorder="1"/>
    <xf numFmtId="0" fontId="17" fillId="5" borderId="18" xfId="0" applyFont="1" applyFill="1" applyBorder="1"/>
    <xf numFmtId="0" fontId="17" fillId="5" borderId="22" xfId="0" applyFont="1" applyFill="1" applyBorder="1"/>
    <xf numFmtId="164" fontId="10" fillId="3" borderId="19" xfId="0" applyNumberFormat="1" applyFont="1" applyFill="1" applyBorder="1"/>
    <xf numFmtId="165" fontId="10" fillId="2" borderId="1" xfId="0" applyNumberFormat="1" applyFont="1" applyFill="1" applyBorder="1" applyAlignment="1">
      <alignment horizontal="center"/>
    </xf>
    <xf numFmtId="165" fontId="9" fillId="0" borderId="0" xfId="0" applyNumberFormat="1" applyFont="1" applyBorder="1"/>
    <xf numFmtId="165" fontId="19" fillId="0" borderId="0" xfId="1" applyNumberFormat="1" applyFont="1" applyAlignment="1" applyProtection="1">
      <protection locked="0"/>
    </xf>
    <xf numFmtId="165" fontId="5" fillId="0" borderId="0" xfId="0" applyNumberFormat="1" applyFont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center"/>
    </xf>
    <xf numFmtId="165" fontId="10" fillId="0" borderId="0" xfId="0" applyNumberFormat="1" applyFont="1" applyBorder="1"/>
    <xf numFmtId="1" fontId="11" fillId="0" borderId="19" xfId="0" applyNumberFormat="1" applyFont="1" applyBorder="1"/>
    <xf numFmtId="1" fontId="11" fillId="0" borderId="36" xfId="0" applyNumberFormat="1" applyFont="1" applyBorder="1"/>
    <xf numFmtId="1" fontId="11" fillId="7" borderId="22" xfId="0" applyNumberFormat="1" applyFont="1" applyFill="1" applyBorder="1"/>
    <xf numFmtId="1" fontId="11" fillId="7" borderId="23" xfId="0" applyNumberFormat="1" applyFont="1" applyFill="1" applyBorder="1"/>
    <xf numFmtId="1" fontId="11" fillId="5" borderId="36" xfId="0" applyNumberFormat="1" applyFont="1" applyFill="1" applyBorder="1"/>
    <xf numFmtId="1" fontId="11" fillId="5" borderId="19" xfId="0" applyNumberFormat="1" applyFont="1" applyFill="1" applyBorder="1"/>
    <xf numFmtId="165" fontId="12" fillId="2" borderId="42" xfId="0" applyNumberFormat="1" applyFont="1" applyFill="1" applyBorder="1"/>
    <xf numFmtId="165" fontId="12" fillId="2" borderId="43" xfId="0" applyNumberFormat="1" applyFont="1" applyFill="1" applyBorder="1"/>
    <xf numFmtId="165" fontId="9" fillId="7" borderId="55" xfId="0" applyNumberFormat="1" applyFont="1" applyFill="1" applyBorder="1"/>
    <xf numFmtId="165" fontId="9" fillId="7" borderId="5" xfId="0" applyNumberFormat="1" applyFont="1" applyFill="1" applyBorder="1"/>
    <xf numFmtId="1" fontId="11" fillId="7" borderId="2" xfId="0" applyNumberFormat="1" applyFont="1" applyFill="1" applyBorder="1"/>
    <xf numFmtId="1" fontId="11" fillId="7" borderId="3" xfId="0" applyNumberFormat="1" applyFont="1" applyFill="1" applyBorder="1"/>
    <xf numFmtId="1" fontId="11" fillId="7" borderId="6" xfId="0" applyNumberFormat="1" applyFont="1" applyFill="1" applyBorder="1"/>
    <xf numFmtId="1" fontId="11" fillId="7" borderId="4" xfId="0" applyNumberFormat="1" applyFont="1" applyFill="1" applyBorder="1"/>
    <xf numFmtId="1" fontId="11" fillId="7" borderId="5" xfId="0" applyNumberFormat="1" applyFont="1" applyFill="1" applyBorder="1"/>
    <xf numFmtId="1" fontId="12" fillId="7" borderId="2" xfId="0" applyNumberFormat="1" applyFont="1" applyFill="1" applyBorder="1"/>
    <xf numFmtId="1" fontId="12" fillId="7" borderId="3" xfId="0" applyNumberFormat="1" applyFont="1" applyFill="1" applyBorder="1"/>
    <xf numFmtId="165" fontId="12" fillId="7" borderId="3" xfId="0" applyNumberFormat="1" applyFont="1" applyFill="1" applyBorder="1"/>
    <xf numFmtId="165" fontId="12" fillId="7" borderId="6" xfId="0" applyNumberFormat="1" applyFont="1" applyFill="1" applyBorder="1"/>
    <xf numFmtId="165" fontId="9" fillId="7" borderId="40" xfId="0" applyNumberFormat="1" applyFont="1" applyFill="1" applyBorder="1"/>
    <xf numFmtId="165" fontId="9" fillId="7" borderId="12" xfId="0" applyNumberFormat="1" applyFont="1" applyFill="1" applyBorder="1"/>
    <xf numFmtId="165" fontId="9" fillId="7" borderId="13" xfId="0" applyNumberFormat="1" applyFont="1" applyFill="1" applyBorder="1"/>
    <xf numFmtId="1" fontId="11" fillId="7" borderId="10" xfId="0" applyNumberFormat="1" applyFont="1" applyFill="1" applyBorder="1"/>
    <xf numFmtId="1" fontId="11" fillId="7" borderId="11" xfId="0" applyNumberFormat="1" applyFont="1" applyFill="1" applyBorder="1"/>
    <xf numFmtId="1" fontId="11" fillId="7" borderId="74" xfId="0" applyNumberFormat="1" applyFont="1" applyFill="1" applyBorder="1"/>
    <xf numFmtId="1" fontId="11" fillId="7" borderId="12" xfId="0" applyNumberFormat="1" applyFont="1" applyFill="1" applyBorder="1"/>
    <xf numFmtId="1" fontId="11" fillId="7" borderId="13" xfId="0" applyNumberFormat="1" applyFont="1" applyFill="1" applyBorder="1"/>
    <xf numFmtId="1" fontId="12" fillId="7" borderId="10" xfId="0" applyNumberFormat="1" applyFont="1" applyFill="1" applyBorder="1"/>
    <xf numFmtId="1" fontId="12" fillId="7" borderId="11" xfId="0" applyNumberFormat="1" applyFont="1" applyFill="1" applyBorder="1"/>
    <xf numFmtId="165" fontId="12" fillId="7" borderId="11" xfId="0" applyNumberFormat="1" applyFont="1" applyFill="1" applyBorder="1"/>
    <xf numFmtId="165" fontId="12" fillId="7" borderId="74" xfId="0" applyNumberFormat="1" applyFont="1" applyFill="1" applyBorder="1"/>
    <xf numFmtId="165" fontId="13" fillId="7" borderId="41" xfId="0" applyNumberFormat="1" applyFont="1" applyFill="1" applyBorder="1"/>
    <xf numFmtId="1" fontId="12" fillId="7" borderId="44" xfId="0" applyNumberFormat="1" applyFont="1" applyFill="1" applyBorder="1"/>
    <xf numFmtId="1" fontId="12" fillId="7" borderId="45" xfId="0" applyNumberFormat="1" applyFont="1" applyFill="1" applyBorder="1"/>
    <xf numFmtId="1" fontId="12" fillId="7" borderId="68" xfId="0" applyNumberFormat="1" applyFont="1" applyFill="1" applyBorder="1"/>
    <xf numFmtId="1" fontId="12" fillId="7" borderId="73" xfId="0" applyNumberFormat="1" applyFont="1" applyFill="1" applyBorder="1"/>
    <xf numFmtId="165" fontId="12" fillId="7" borderId="44" xfId="0" applyNumberFormat="1" applyFont="1" applyFill="1" applyBorder="1"/>
    <xf numFmtId="165" fontId="12" fillId="7" borderId="75" xfId="0" applyNumberFormat="1" applyFont="1" applyFill="1" applyBorder="1"/>
    <xf numFmtId="1" fontId="12" fillId="2" borderId="12" xfId="0" applyNumberFormat="1" applyFont="1" applyFill="1" applyBorder="1"/>
    <xf numFmtId="1" fontId="12" fillId="2" borderId="13" xfId="0" applyNumberFormat="1" applyFont="1" applyFill="1" applyBorder="1"/>
    <xf numFmtId="1" fontId="12" fillId="2" borderId="10" xfId="0" applyNumberFormat="1" applyFont="1" applyFill="1" applyBorder="1"/>
    <xf numFmtId="1" fontId="12" fillId="2" borderId="11" xfId="0" applyNumberFormat="1" applyFont="1" applyFill="1" applyBorder="1"/>
    <xf numFmtId="1" fontId="12" fillId="2" borderId="74" xfId="0" applyNumberFormat="1" applyFont="1" applyFill="1" applyBorder="1"/>
    <xf numFmtId="165" fontId="10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5" fontId="10" fillId="0" borderId="0" xfId="0" applyNumberFormat="1" applyFont="1" applyAlignment="1">
      <alignment horizontal="left"/>
    </xf>
    <xf numFmtId="165" fontId="10" fillId="0" borderId="0" xfId="0" applyNumberFormat="1" applyFont="1"/>
    <xf numFmtId="165" fontId="5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centerContinuous"/>
    </xf>
    <xf numFmtId="165" fontId="10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7" fontId="5" fillId="0" borderId="0" xfId="0" applyNumberFormat="1" applyFont="1"/>
    <xf numFmtId="1" fontId="5" fillId="0" borderId="0" xfId="0" applyNumberFormat="1" applyFont="1" applyBorder="1"/>
    <xf numFmtId="1" fontId="11" fillId="0" borderId="0" xfId="0" applyNumberFormat="1" applyFont="1" applyBorder="1"/>
    <xf numFmtId="0" fontId="5" fillId="2" borderId="16" xfId="0" applyFont="1" applyFill="1" applyBorder="1" applyAlignment="1">
      <alignment horizontal="right"/>
    </xf>
    <xf numFmtId="0" fontId="5" fillId="7" borderId="16" xfId="0" applyFont="1" applyFill="1" applyBorder="1" applyAlignment="1">
      <alignment horizontal="right"/>
    </xf>
    <xf numFmtId="0" fontId="5" fillId="6" borderId="18" xfId="0" applyFont="1" applyFill="1" applyBorder="1" applyAlignment="1">
      <alignment horizontal="right"/>
    </xf>
    <xf numFmtId="0" fontId="18" fillId="0" borderId="0" xfId="0" applyFont="1" applyFill="1" applyBorder="1"/>
    <xf numFmtId="0" fontId="17" fillId="0" borderId="0" xfId="0" applyFont="1" applyBorder="1"/>
    <xf numFmtId="0" fontId="18" fillId="0" borderId="0" xfId="0" applyFont="1" applyFill="1" applyBorder="1" applyAlignment="1">
      <alignment wrapText="1"/>
    </xf>
    <xf numFmtId="0" fontId="17" fillId="0" borderId="0" xfId="0" applyFont="1" applyFill="1" applyBorder="1"/>
    <xf numFmtId="0" fontId="20" fillId="0" borderId="0" xfId="0" applyFont="1" applyFill="1" applyBorder="1"/>
    <xf numFmtId="0" fontId="10" fillId="2" borderId="16" xfId="0" applyFont="1" applyFill="1" applyBorder="1" applyAlignment="1">
      <alignment horizontal="right"/>
    </xf>
    <xf numFmtId="0" fontId="10" fillId="2" borderId="13" xfId="0" applyFont="1" applyFill="1" applyBorder="1" applyAlignment="1">
      <alignment horizontal="right"/>
    </xf>
    <xf numFmtId="165" fontId="10" fillId="2" borderId="12" xfId="0" applyNumberFormat="1" applyFont="1" applyFill="1" applyBorder="1"/>
    <xf numFmtId="0" fontId="10" fillId="2" borderId="18" xfId="0" applyFont="1" applyFill="1" applyBorder="1" applyAlignment="1">
      <alignment horizontal="right"/>
    </xf>
    <xf numFmtId="166" fontId="10" fillId="2" borderId="14" xfId="2" applyNumberFormat="1" applyFont="1" applyFill="1" applyBorder="1"/>
    <xf numFmtId="0" fontId="10" fillId="6" borderId="18" xfId="0" applyFont="1" applyFill="1" applyBorder="1" applyAlignment="1">
      <alignment horizontal="right"/>
    </xf>
    <xf numFmtId="0" fontId="10" fillId="7" borderId="18" xfId="0" applyFont="1" applyFill="1" applyBorder="1" applyAlignment="1">
      <alignment horizontal="right"/>
    </xf>
    <xf numFmtId="166" fontId="10" fillId="7" borderId="14" xfId="2" applyNumberFormat="1" applyFont="1" applyFill="1" applyBorder="1"/>
    <xf numFmtId="0" fontId="10" fillId="2" borderId="11" xfId="0" applyFont="1" applyFill="1" applyBorder="1" applyAlignment="1">
      <alignment horizontal="right"/>
    </xf>
    <xf numFmtId="166" fontId="10" fillId="2" borderId="40" xfId="2" applyNumberFormat="1" applyFont="1" applyFill="1" applyBorder="1"/>
    <xf numFmtId="0" fontId="1" fillId="0" borderId="0" xfId="3"/>
    <xf numFmtId="0" fontId="5" fillId="8" borderId="76" xfId="0" applyFont="1" applyFill="1" applyBorder="1"/>
    <xf numFmtId="0" fontId="5" fillId="8" borderId="18" xfId="0" applyFont="1" applyFill="1" applyBorder="1"/>
    <xf numFmtId="0" fontId="5" fillId="8" borderId="19" xfId="0" applyFont="1" applyFill="1" applyBorder="1"/>
    <xf numFmtId="0" fontId="5" fillId="8" borderId="14" xfId="0" applyFont="1" applyFill="1" applyBorder="1"/>
    <xf numFmtId="0" fontId="5" fillId="8" borderId="64" xfId="0" applyFont="1" applyFill="1" applyBorder="1"/>
    <xf numFmtId="0" fontId="10" fillId="8" borderId="14" xfId="0" applyFont="1" applyFill="1" applyBorder="1"/>
    <xf numFmtId="0" fontId="5" fillId="8" borderId="17" xfId="0" applyFont="1" applyFill="1" applyBorder="1"/>
    <xf numFmtId="0" fontId="10" fillId="8" borderId="60" xfId="0" applyFont="1" applyFill="1" applyBorder="1"/>
    <xf numFmtId="0" fontId="4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65" fontId="5" fillId="2" borderId="53" xfId="0" applyNumberFormat="1" applyFont="1" applyFill="1" applyBorder="1" applyAlignment="1">
      <alignment horizontal="center" vertical="center" wrapText="1"/>
    </xf>
    <xf numFmtId="165" fontId="5" fillId="2" borderId="6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165" fontId="10" fillId="2" borderId="41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0" fillId="2" borderId="54" xfId="0" applyFont="1" applyFill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0" fontId="5" fillId="0" borderId="61" xfId="0" applyFont="1" applyBorder="1" applyAlignment="1">
      <alignment horizontal="center"/>
    </xf>
    <xf numFmtId="0" fontId="13" fillId="0" borderId="0" xfId="0" applyFont="1" applyAlignment="1">
      <alignment horizontal="center"/>
    </xf>
  </cellXfs>
  <cellStyles count="4">
    <cellStyle name="Link" xfId="1" builtinId="8"/>
    <cellStyle name="Prozent" xfId="2" builtinId="5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Zahl der auswärtigen Schüler</a:t>
            </a:r>
          </a:p>
        </c:rich>
      </c:tx>
      <c:layout>
        <c:manualLayout>
          <c:xMode val="edge"/>
          <c:yMode val="edge"/>
          <c:x val="0.2753628260235586"/>
          <c:y val="2.83186546126178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243265089172404E-2"/>
          <c:y val="0.16637182519688987"/>
          <c:w val="0.92431707351592929"/>
          <c:h val="0.591150953359161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('Anlage 6.18'!$A$6:$A$6,'Anlage 6.18'!$A$8:$A$9,'Anlage 6.18'!$A$11:$A$14,'Anlage 6.18'!$A$16:$A$18)</c:f>
              <c:strCache>
                <c:ptCount val="9"/>
                <c:pt idx="0">
                  <c:v>GHS J.-v.-Liebig</c:v>
                </c:pt>
                <c:pt idx="1">
                  <c:v>RS H. Pattberg</c:v>
                </c:pt>
                <c:pt idx="2">
                  <c:v>GY Grafschafter</c:v>
                </c:pt>
                <c:pt idx="3">
                  <c:v>GY Adolfinum</c:v>
                </c:pt>
                <c:pt idx="4">
                  <c:v>GY Filder Benden</c:v>
                </c:pt>
                <c:pt idx="5">
                  <c:v>GY Rheinkamp</c:v>
                </c:pt>
                <c:pt idx="6">
                  <c:v>IGS G.-Scholl</c:v>
                </c:pt>
                <c:pt idx="7">
                  <c:v>IGS A.-Frank</c:v>
                </c:pt>
                <c:pt idx="8">
                  <c:v>IGS H.-Runge</c:v>
                </c:pt>
              </c:strCache>
            </c:strRef>
          </c:cat>
          <c:val>
            <c:numRef>
              <c:f>('Anlage 6.18'!$C$6:$C$6,'Anlage 6.18'!$C$8:$C$9,'Anlage 6.18'!$C$11:$C$14,'Anlage 6.18'!$C$16:$C$18)</c:f>
              <c:numCache>
                <c:formatCode>General</c:formatCode>
                <c:ptCount val="9"/>
                <c:pt idx="0">
                  <c:v>14</c:v>
                </c:pt>
                <c:pt idx="1">
                  <c:v>128</c:v>
                </c:pt>
                <c:pt idx="2">
                  <c:v>97</c:v>
                </c:pt>
                <c:pt idx="3">
                  <c:v>220</c:v>
                </c:pt>
                <c:pt idx="4">
                  <c:v>112</c:v>
                </c:pt>
                <c:pt idx="5">
                  <c:v>166</c:v>
                </c:pt>
                <c:pt idx="6">
                  <c:v>160</c:v>
                </c:pt>
                <c:pt idx="7">
                  <c:v>38</c:v>
                </c:pt>
                <c:pt idx="8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2-4F51-9589-62771BF3C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828736"/>
        <c:axId val="41498816"/>
      </c:barChart>
      <c:catAx>
        <c:axId val="12382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28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Herkunft der auswärtigen Schüler</a:t>
            </a:r>
          </a:p>
        </c:rich>
      </c:tx>
      <c:layout>
        <c:manualLayout>
          <c:xMode val="edge"/>
          <c:yMode val="edge"/>
          <c:x val="0.34665099882491185"/>
          <c:y val="1.7064698595843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754406580493537E-2"/>
          <c:y val="0.10238907849829351"/>
          <c:w val="0.9283196239717979"/>
          <c:h val="0.761092150170648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('Anlage 6.19'!$H$5,'Anlage 6.19'!$I$5,'Anlage 6.19'!$J$5,'Anlage 6.19'!$K$5,'Anlage 6.19'!$L$5,'Anlage 6.19'!$N$5)</c:f>
              <c:strCache>
                <c:ptCount val="6"/>
                <c:pt idx="0">
                  <c:v>DU - insgesamt</c:v>
                </c:pt>
                <c:pt idx="1">
                  <c:v>Neukirchen Vlyun</c:v>
                </c:pt>
                <c:pt idx="2">
                  <c:v>Kamp-Lintfort</c:v>
                </c:pt>
                <c:pt idx="3">
                  <c:v>Rheinberg</c:v>
                </c:pt>
                <c:pt idx="4">
                  <c:v>Krefeld</c:v>
                </c:pt>
                <c:pt idx="5">
                  <c:v>sonstige Städte</c:v>
                </c:pt>
              </c:strCache>
            </c:strRef>
          </c:cat>
          <c:val>
            <c:numRef>
              <c:f>('Anlage 6.19'!$H$6,'Anlage 6.19'!$I$6,'Anlage 6.19'!$J$6,'Anlage 6.19'!$K$6,'Anlage 6.19'!$L$6,'Anlage 6.19'!$N$6)</c:f>
              <c:numCache>
                <c:formatCode>General</c:formatCode>
                <c:ptCount val="6"/>
                <c:pt idx="0">
                  <c:v>619</c:v>
                </c:pt>
                <c:pt idx="1">
                  <c:v>178</c:v>
                </c:pt>
                <c:pt idx="2">
                  <c:v>75</c:v>
                </c:pt>
                <c:pt idx="3">
                  <c:v>97</c:v>
                </c:pt>
                <c:pt idx="4">
                  <c:v>16</c:v>
                </c:pt>
                <c:pt idx="5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0-4A0B-BE1A-FF7017623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978368"/>
        <c:axId val="120758272"/>
      </c:barChart>
      <c:catAx>
        <c:axId val="15397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5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758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9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4</xdr:row>
      <xdr:rowOff>9525</xdr:rowOff>
    </xdr:from>
    <xdr:to>
      <xdr:col>16</xdr:col>
      <xdr:colOff>447675</xdr:colOff>
      <xdr:row>20</xdr:row>
      <xdr:rowOff>0</xdr:rowOff>
    </xdr:to>
    <xdr:graphicFrame macro="">
      <xdr:nvGraphicFramePr>
        <xdr:cNvPr id="16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76200</xdr:rowOff>
    </xdr:from>
    <xdr:to>
      <xdr:col>15</xdr:col>
      <xdr:colOff>9525</xdr:colOff>
      <xdr:row>22</xdr:row>
      <xdr:rowOff>9525</xdr:rowOff>
    </xdr:to>
    <xdr:graphicFrame macro="">
      <xdr:nvGraphicFramePr>
        <xdr:cNvPr id="26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showRuler="0" zoomScaleNormal="100" zoomScaleSheetLayoutView="100" workbookViewId="0">
      <selection activeCell="C33" sqref="C33"/>
    </sheetView>
  </sheetViews>
  <sheetFormatPr baseColWidth="10" defaultRowHeight="12.75" x14ac:dyDescent="0.2"/>
  <cols>
    <col min="1" max="1" width="15.140625" customWidth="1"/>
    <col min="9" max="9" width="5.7109375" customWidth="1"/>
    <col min="12" max="12" width="12" customWidth="1"/>
    <col min="13" max="13" width="11.42578125" style="1"/>
  </cols>
  <sheetData>
    <row r="1" spans="1:13" s="3" customFormat="1" ht="13.5" customHeight="1" x14ac:dyDescent="0.25">
      <c r="A1" s="944" t="s">
        <v>335</v>
      </c>
      <c r="B1" s="944"/>
      <c r="C1" s="944"/>
      <c r="D1" s="944"/>
      <c r="E1" s="944"/>
      <c r="F1" s="944"/>
      <c r="G1" s="944"/>
      <c r="H1" s="944"/>
      <c r="I1" s="944"/>
      <c r="J1" s="2"/>
      <c r="K1" s="2"/>
      <c r="M1" s="4"/>
    </row>
    <row r="2" spans="1:13" s="3" customFormat="1" ht="13.5" customHeight="1" x14ac:dyDescent="0.25">
      <c r="A2" s="5"/>
      <c r="B2" s="6"/>
      <c r="C2" s="6"/>
      <c r="D2" s="6"/>
      <c r="E2" s="6"/>
      <c r="F2" s="6"/>
      <c r="G2" s="6"/>
      <c r="M2" s="4"/>
    </row>
    <row r="3" spans="1:13" s="3" customFormat="1" ht="13.5" customHeight="1" x14ac:dyDescent="0.25">
      <c r="A3" s="3" t="s">
        <v>210</v>
      </c>
      <c r="B3" s="3" t="s">
        <v>0</v>
      </c>
      <c r="M3" s="7" t="s">
        <v>200</v>
      </c>
    </row>
    <row r="4" spans="1:13" s="3" customFormat="1" ht="13.5" customHeight="1" x14ac:dyDescent="0.25">
      <c r="A4" s="3" t="s">
        <v>211</v>
      </c>
      <c r="B4" s="3" t="s">
        <v>1</v>
      </c>
      <c r="M4" s="7" t="s">
        <v>201</v>
      </c>
    </row>
    <row r="5" spans="1:13" s="3" customFormat="1" ht="13.5" customHeight="1" x14ac:dyDescent="0.25">
      <c r="A5" s="3" t="s">
        <v>212</v>
      </c>
      <c r="B5" s="3" t="s">
        <v>2</v>
      </c>
      <c r="M5" s="7" t="s">
        <v>202</v>
      </c>
    </row>
    <row r="6" spans="1:13" s="3" customFormat="1" ht="13.5" customHeight="1" x14ac:dyDescent="0.25">
      <c r="A6" s="3" t="s">
        <v>213</v>
      </c>
      <c r="B6" s="3" t="s">
        <v>3</v>
      </c>
      <c r="M6" s="7" t="s">
        <v>203</v>
      </c>
    </row>
    <row r="7" spans="1:13" s="3" customFormat="1" ht="13.5" customHeight="1" x14ac:dyDescent="0.25">
      <c r="A7" s="3" t="s">
        <v>303</v>
      </c>
      <c r="B7" s="3" t="s">
        <v>313</v>
      </c>
      <c r="M7" s="634" t="s">
        <v>306</v>
      </c>
    </row>
    <row r="8" spans="1:13" s="3" customFormat="1" ht="13.5" customHeight="1" x14ac:dyDescent="0.25">
      <c r="A8" s="3" t="s">
        <v>304</v>
      </c>
      <c r="B8" s="3" t="s">
        <v>314</v>
      </c>
      <c r="M8" s="634" t="s">
        <v>307</v>
      </c>
    </row>
    <row r="9" spans="1:13" s="3" customFormat="1" ht="13.5" customHeight="1" x14ac:dyDescent="0.25">
      <c r="A9" s="3" t="s">
        <v>305</v>
      </c>
      <c r="B9" s="3" t="s">
        <v>315</v>
      </c>
      <c r="M9" s="634" t="s">
        <v>308</v>
      </c>
    </row>
    <row r="10" spans="1:13" s="3" customFormat="1" ht="13.5" customHeight="1" x14ac:dyDescent="0.25">
      <c r="A10" s="3" t="s">
        <v>209</v>
      </c>
      <c r="B10" s="8" t="s">
        <v>280</v>
      </c>
      <c r="M10" s="7" t="s">
        <v>215</v>
      </c>
    </row>
    <row r="11" spans="1:13" s="3" customFormat="1" ht="13.5" customHeight="1" x14ac:dyDescent="0.25">
      <c r="A11" s="3" t="s">
        <v>287</v>
      </c>
      <c r="B11" s="8" t="s">
        <v>286</v>
      </c>
      <c r="M11" s="634" t="s">
        <v>288</v>
      </c>
    </row>
    <row r="12" spans="1:13" s="3" customFormat="1" ht="13.5" customHeight="1" x14ac:dyDescent="0.25">
      <c r="A12" s="3" t="s">
        <v>220</v>
      </c>
      <c r="B12" s="3" t="s">
        <v>145</v>
      </c>
      <c r="M12" s="7" t="s">
        <v>214</v>
      </c>
    </row>
    <row r="13" spans="1:13" s="3" customFormat="1" ht="13.5" customHeight="1" x14ac:dyDescent="0.25">
      <c r="A13" s="3" t="s">
        <v>221</v>
      </c>
      <c r="B13" s="3" t="s">
        <v>146</v>
      </c>
      <c r="M13" s="7" t="s">
        <v>216</v>
      </c>
    </row>
    <row r="14" spans="1:13" s="3" customFormat="1" ht="13.5" customHeight="1" x14ac:dyDescent="0.25">
      <c r="A14" s="3" t="s">
        <v>222</v>
      </c>
      <c r="B14" s="3" t="s">
        <v>147</v>
      </c>
      <c r="M14" s="7" t="s">
        <v>217</v>
      </c>
    </row>
    <row r="15" spans="1:13" s="3" customFormat="1" ht="13.5" customHeight="1" x14ac:dyDescent="0.25">
      <c r="A15" s="3" t="s">
        <v>223</v>
      </c>
      <c r="B15" s="3" t="s">
        <v>148</v>
      </c>
      <c r="M15" s="7" t="s">
        <v>218</v>
      </c>
    </row>
    <row r="16" spans="1:13" s="3" customFormat="1" ht="13.5" customHeight="1" x14ac:dyDescent="0.25">
      <c r="A16" s="3" t="s">
        <v>224</v>
      </c>
      <c r="B16" s="3" t="s">
        <v>149</v>
      </c>
      <c r="M16" s="7" t="s">
        <v>219</v>
      </c>
    </row>
    <row r="17" spans="1:13" s="3" customFormat="1" ht="13.5" customHeight="1" x14ac:dyDescent="0.25">
      <c r="A17" s="3" t="s">
        <v>229</v>
      </c>
      <c r="B17" s="3" t="s">
        <v>195</v>
      </c>
      <c r="M17" s="7" t="s">
        <v>225</v>
      </c>
    </row>
    <row r="18" spans="1:13" s="3" customFormat="1" ht="13.5" customHeight="1" x14ac:dyDescent="0.25">
      <c r="A18" s="3" t="s">
        <v>230</v>
      </c>
      <c r="B18" s="3" t="s">
        <v>196</v>
      </c>
      <c r="M18" s="7" t="s">
        <v>226</v>
      </c>
    </row>
    <row r="19" spans="1:13" s="3" customFormat="1" ht="13.5" customHeight="1" x14ac:dyDescent="0.25">
      <c r="A19" s="3" t="s">
        <v>231</v>
      </c>
      <c r="B19" s="3" t="s">
        <v>197</v>
      </c>
      <c r="M19" s="7" t="s">
        <v>227</v>
      </c>
    </row>
    <row r="20" spans="1:13" s="3" customFormat="1" ht="13.5" customHeight="1" x14ac:dyDescent="0.25">
      <c r="A20" s="3" t="s">
        <v>232</v>
      </c>
      <c r="B20" s="3" t="s">
        <v>198</v>
      </c>
      <c r="M20" s="7" t="s">
        <v>228</v>
      </c>
    </row>
    <row r="21" spans="1:13" s="3" customFormat="1" ht="13.5" customHeight="1" x14ac:dyDescent="0.25">
      <c r="A21" s="3" t="s">
        <v>233</v>
      </c>
      <c r="B21" s="3" t="s">
        <v>199</v>
      </c>
      <c r="M21" s="7" t="s">
        <v>248</v>
      </c>
    </row>
    <row r="22" spans="1:13" s="3" customFormat="1" ht="13.5" customHeight="1" x14ac:dyDescent="0.25">
      <c r="A22" s="3" t="s">
        <v>234</v>
      </c>
      <c r="B22" s="3" t="s">
        <v>150</v>
      </c>
      <c r="M22" s="7" t="s">
        <v>249</v>
      </c>
    </row>
    <row r="23" spans="1:13" s="3" customFormat="1" ht="13.5" customHeight="1" x14ac:dyDescent="0.25">
      <c r="A23" s="3" t="s">
        <v>235</v>
      </c>
      <c r="B23" s="3" t="s">
        <v>151</v>
      </c>
      <c r="M23" s="7" t="s">
        <v>250</v>
      </c>
    </row>
    <row r="24" spans="1:13" s="3" customFormat="1" ht="13.5" customHeight="1" x14ac:dyDescent="0.25">
      <c r="A24" s="3" t="s">
        <v>236</v>
      </c>
      <c r="B24" s="3" t="s">
        <v>152</v>
      </c>
      <c r="M24" s="7" t="s">
        <v>251</v>
      </c>
    </row>
    <row r="25" spans="1:13" s="3" customFormat="1" ht="13.5" customHeight="1" x14ac:dyDescent="0.25">
      <c r="A25" s="3" t="s">
        <v>237</v>
      </c>
      <c r="B25" s="3" t="s">
        <v>153</v>
      </c>
      <c r="M25" s="7" t="s">
        <v>252</v>
      </c>
    </row>
    <row r="26" spans="1:13" s="3" customFormat="1" ht="13.5" customHeight="1" x14ac:dyDescent="0.25">
      <c r="A26" s="3" t="s">
        <v>238</v>
      </c>
      <c r="B26" s="3" t="s">
        <v>154</v>
      </c>
      <c r="M26" s="7" t="s">
        <v>253</v>
      </c>
    </row>
    <row r="27" spans="1:13" s="3" customFormat="1" ht="13.5" customHeight="1" x14ac:dyDescent="0.25">
      <c r="A27" s="3" t="s">
        <v>239</v>
      </c>
      <c r="B27" s="3" t="s">
        <v>155</v>
      </c>
      <c r="M27" s="7" t="s">
        <v>254</v>
      </c>
    </row>
    <row r="28" spans="1:13" s="3" customFormat="1" ht="13.5" customHeight="1" x14ac:dyDescent="0.25">
      <c r="A28" s="3" t="s">
        <v>240</v>
      </c>
      <c r="B28" s="3" t="s">
        <v>156</v>
      </c>
      <c r="M28" s="7" t="s">
        <v>255</v>
      </c>
    </row>
    <row r="29" spans="1:13" s="3" customFormat="1" ht="13.5" customHeight="1" x14ac:dyDescent="0.25">
      <c r="A29" s="3" t="s">
        <v>241</v>
      </c>
      <c r="B29" s="3" t="s">
        <v>157</v>
      </c>
      <c r="M29" s="7" t="s">
        <v>256</v>
      </c>
    </row>
    <row r="30" spans="1:13" s="3" customFormat="1" ht="13.5" customHeight="1" x14ac:dyDescent="0.25">
      <c r="A30" s="3" t="s">
        <v>242</v>
      </c>
      <c r="B30" s="3" t="s">
        <v>158</v>
      </c>
      <c r="M30" s="7" t="s">
        <v>257</v>
      </c>
    </row>
    <row r="31" spans="1:13" s="3" customFormat="1" ht="13.5" customHeight="1" x14ac:dyDescent="0.25">
      <c r="A31" s="3" t="s">
        <v>243</v>
      </c>
      <c r="B31" s="3" t="s">
        <v>159</v>
      </c>
      <c r="M31" s="7" t="s">
        <v>258</v>
      </c>
    </row>
    <row r="32" spans="1:13" s="3" customFormat="1" ht="13.5" customHeight="1" x14ac:dyDescent="0.25">
      <c r="A32" s="3" t="s">
        <v>244</v>
      </c>
      <c r="B32" s="3" t="s">
        <v>160</v>
      </c>
      <c r="M32" s="7" t="s">
        <v>259</v>
      </c>
    </row>
    <row r="33" spans="1:13" s="3" customFormat="1" ht="13.5" customHeight="1" x14ac:dyDescent="0.25">
      <c r="A33" s="3" t="s">
        <v>245</v>
      </c>
      <c r="B33" s="3" t="s">
        <v>161</v>
      </c>
      <c r="M33" s="7" t="s">
        <v>260</v>
      </c>
    </row>
    <row r="34" spans="1:13" s="3" customFormat="1" ht="13.5" customHeight="1" x14ac:dyDescent="0.25">
      <c r="A34" s="3" t="s">
        <v>246</v>
      </c>
      <c r="B34" s="3" t="s">
        <v>162</v>
      </c>
      <c r="M34" s="7" t="s">
        <v>261</v>
      </c>
    </row>
    <row r="35" spans="1:13" s="3" customFormat="1" ht="13.5" customHeight="1" x14ac:dyDescent="0.25">
      <c r="A35" s="3" t="s">
        <v>247</v>
      </c>
      <c r="B35" s="3" t="s">
        <v>163</v>
      </c>
      <c r="M35" s="7" t="s">
        <v>262</v>
      </c>
    </row>
    <row r="36" spans="1:13" s="3" customFormat="1" ht="13.5" customHeight="1" x14ac:dyDescent="0.25">
      <c r="M36" s="4"/>
    </row>
    <row r="37" spans="1:13" s="3" customFormat="1" ht="13.5" customHeight="1" x14ac:dyDescent="0.25">
      <c r="M37" s="4"/>
    </row>
    <row r="38" spans="1:13" ht="13.5" customHeight="1" x14ac:dyDescent="0.2"/>
    <row r="39" spans="1:13" ht="13.5" customHeight="1" x14ac:dyDescent="0.2"/>
    <row r="40" spans="1:13" ht="13.5" customHeight="1" x14ac:dyDescent="0.2"/>
    <row r="41" spans="1:13" ht="13.5" customHeight="1" x14ac:dyDescent="0.2"/>
    <row r="42" spans="1:13" ht="13.5" customHeight="1" x14ac:dyDescent="0.2"/>
  </sheetData>
  <customSheetViews>
    <customSheetView guid="{0224233B-564D-4BBC-A6B2-E639E6D2CFB3}" fitToPage="1" showRuler="0">
      <selection activeCell="C48" sqref="C48"/>
      <pageMargins left="0.39370078740157483" right="0.39370078740157483" top="0.39370078740157483" bottom="0.39370078740157483" header="0" footer="0"/>
      <printOptions horizontalCentered="1" verticalCentered="1"/>
      <pageSetup paperSize="9" scale="83" orientation="landscape" horizontalDpi="300" verticalDpi="300" r:id="rId1"/>
      <headerFooter alignWithMargins="0">
        <oddHeader>&amp;LAmt 40/1&amp;R&amp;A</oddHeader>
        <oddFooter>&amp;CSeite &amp;P&amp;R&amp;F</oddFooter>
      </headerFooter>
    </customSheetView>
  </customSheetViews>
  <mergeCells count="1">
    <mergeCell ref="A1:I1"/>
  </mergeCells>
  <phoneticPr fontId="2" type="noConversion"/>
  <hyperlinks>
    <hyperlink ref="M3" location="'Anlage 1a'!A1" display="'Anlage 1a'!A1"/>
    <hyperlink ref="M4" location="'Anlage 1b'!A1" display="'Anlage 1b'!A1"/>
    <hyperlink ref="M5" location="'Anlage 1c'!A1" display="'Anlage 1c'!A1"/>
    <hyperlink ref="M6" location="'Anlage 1d'!A1" display="'Anlage 1d'!A1"/>
    <hyperlink ref="M10" location="'Anlage 1.2'!A1" display="'Anlage 1.2'!A1"/>
    <hyperlink ref="M15" location="'Anlage 5.4'!A1" display="'Anlage 5.4'!A1"/>
    <hyperlink ref="M16" location="'Anlage 5.5'!A1" display="'Anlage 5.5'!A1"/>
    <hyperlink ref="M17" location="'Anlage 6.1'!A1" display="'Anlage 6.1'!A1"/>
    <hyperlink ref="M18" location="'Anlage 6.3'!A1" display="Anlage 6.2'!A1"/>
    <hyperlink ref="M19" location="'Anlage 6.3'!A1" display="'Anlage 6.3'!A1"/>
    <hyperlink ref="M20" location="'Anlage 6.4'!A1" display="'Anlage 6.4'!A1"/>
    <hyperlink ref="M21" location="'Anlage 6.5'!A1" display="'Anlage 6.5'!A1"/>
    <hyperlink ref="M22" location="'Anlage 6.6'!A1" display="'Anlage 6.6'!A1"/>
    <hyperlink ref="M23" location="'Anlage 6.7'!A1" display="'Anlage 6.7'!A1"/>
    <hyperlink ref="M24" location="'Anlage 6.8'!A1" display="'Anlage 6.8'!A1"/>
    <hyperlink ref="M25" location="'Anlage 6.9'!A1" display="'Anlage 6.9'!A1"/>
    <hyperlink ref="M26" location="'Anlage 6.10'!A1" display="'Anlage 6.10'!A1"/>
    <hyperlink ref="M27" location="'Anlage 6.11'!A1" display="'Anlage 6.11'!A1"/>
    <hyperlink ref="M28" location="'Anlage 6.12'!A1" display="'Anlage 6.12'!A1"/>
    <hyperlink ref="M29" location="'Anlage 6.13'!A1" display="'Anlage 6.13'!A1"/>
    <hyperlink ref="M30" location="'Anlage 6.14'!A1" display="'Anlage 6.14'!A1"/>
    <hyperlink ref="M31" location="'Anlage 6.15'!A1" display="'Anlage 6.15'!A1"/>
    <hyperlink ref="M32" location="'Anlage 6.16'!A1" display="'Anlage 6.16'!A1"/>
    <hyperlink ref="M33" location="'Anlage 6.17'!A1" display="'Anlage 6.17'!A1"/>
    <hyperlink ref="M34" location="'Anlage 6.18'!A1" display="'Anlage 6.18'!A1"/>
    <hyperlink ref="M35" location="'Anlage 6.19'!A1" display="'Anlage 6.19'!A1"/>
    <hyperlink ref="M11" location="'Anlage 2 a'!Druckbereich" display="Anlage 2 a'!A1"/>
    <hyperlink ref="M7" location="'Anlage 1e'!A1" display="'Anlage 1e'!A1"/>
    <hyperlink ref="M8" location="'Anlage 1f'!A1" display="'Anlage 1f'!A1"/>
    <hyperlink ref="M9" location="'Anlage 1g'!A1" display="'Anlage 1g'!A1"/>
  </hyperlinks>
  <printOptions horizontalCentered="1" verticalCentered="1"/>
  <pageMargins left="0.39370078740157483" right="0.39370078740157483" top="0.39370078740157483" bottom="0.39370078740157483" header="0" footer="0"/>
  <pageSetup paperSize="9" scale="84" orientation="landscape" horizontalDpi="300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zoomScale="90" zoomScaleNormal="90" zoomScaleSheetLayoutView="100" zoomScalePageLayoutView="90" workbookViewId="0">
      <selection sqref="A1:K50"/>
    </sheetView>
  </sheetViews>
  <sheetFormatPr baseColWidth="10" defaultRowHeight="13.5" x14ac:dyDescent="0.25"/>
  <cols>
    <col min="1" max="1" width="25.42578125" style="3" customWidth="1"/>
    <col min="2" max="8" width="6.7109375" style="3" customWidth="1"/>
    <col min="9" max="9" width="12" style="3" bestFit="1" customWidth="1"/>
    <col min="10" max="16384" width="11.42578125" style="3"/>
  </cols>
  <sheetData>
    <row r="1" spans="1:12" s="122" customFormat="1" ht="18.75" x14ac:dyDescent="0.3">
      <c r="A1" s="951" t="s">
        <v>330</v>
      </c>
      <c r="B1" s="951"/>
      <c r="C1" s="951"/>
      <c r="D1" s="951"/>
      <c r="E1" s="951"/>
      <c r="F1" s="951"/>
      <c r="G1" s="951"/>
      <c r="H1" s="951"/>
      <c r="I1" s="951"/>
      <c r="J1" s="951"/>
      <c r="K1" s="951"/>
      <c r="L1" s="293" t="s">
        <v>204</v>
      </c>
    </row>
    <row r="2" spans="1:12" ht="14.25" thickBot="1" x14ac:dyDescent="0.3"/>
    <row r="3" spans="1:12" x14ac:dyDescent="0.25">
      <c r="A3" s="294"/>
      <c r="B3" s="952" t="s">
        <v>263</v>
      </c>
      <c r="C3" s="952"/>
      <c r="D3" s="952"/>
      <c r="E3" s="952"/>
      <c r="F3" s="952"/>
      <c r="G3" s="952"/>
      <c r="H3" s="952"/>
      <c r="I3" s="295"/>
      <c r="J3" s="295"/>
      <c r="K3" s="296"/>
    </row>
    <row r="4" spans="1:12" x14ac:dyDescent="0.25">
      <c r="A4" s="297" t="s">
        <v>266</v>
      </c>
      <c r="B4" s="298" t="s">
        <v>278</v>
      </c>
      <c r="C4" s="298" t="s">
        <v>264</v>
      </c>
      <c r="D4" s="298" t="s">
        <v>275</v>
      </c>
      <c r="E4" s="298" t="s">
        <v>281</v>
      </c>
      <c r="F4" s="298" t="s">
        <v>279</v>
      </c>
      <c r="G4" s="298" t="s">
        <v>276</v>
      </c>
      <c r="H4" s="298" t="s">
        <v>277</v>
      </c>
      <c r="I4" s="298" t="s">
        <v>318</v>
      </c>
      <c r="J4" s="299" t="s">
        <v>265</v>
      </c>
      <c r="K4" s="300" t="s">
        <v>50</v>
      </c>
    </row>
    <row r="5" spans="1:12" x14ac:dyDescent="0.25">
      <c r="A5" s="301" t="s">
        <v>22</v>
      </c>
      <c r="B5" s="486">
        <v>1</v>
      </c>
      <c r="C5" s="486">
        <v>2</v>
      </c>
      <c r="D5" s="486">
        <v>1</v>
      </c>
      <c r="E5" s="486">
        <v>1</v>
      </c>
      <c r="F5" s="486">
        <v>0</v>
      </c>
      <c r="G5" s="486">
        <v>0</v>
      </c>
      <c r="H5" s="486">
        <v>0</v>
      </c>
      <c r="I5" s="486">
        <v>45</v>
      </c>
      <c r="J5" s="917">
        <f>SUM(B5:I5)</f>
        <v>50</v>
      </c>
      <c r="K5" s="302">
        <f>J5/'Anlage 1a'!AJ5</f>
        <v>0.21739130434782608</v>
      </c>
    </row>
    <row r="6" spans="1:12" x14ac:dyDescent="0.25">
      <c r="A6" s="301" t="s">
        <v>23</v>
      </c>
      <c r="B6" s="486">
        <v>0</v>
      </c>
      <c r="C6" s="486">
        <v>1</v>
      </c>
      <c r="D6" s="486">
        <v>2</v>
      </c>
      <c r="E6" s="486">
        <v>0</v>
      </c>
      <c r="F6" s="486">
        <v>0</v>
      </c>
      <c r="G6" s="486">
        <v>0</v>
      </c>
      <c r="H6" s="486">
        <v>0</v>
      </c>
      <c r="I6" s="486">
        <v>30</v>
      </c>
      <c r="J6" s="917">
        <f t="shared" ref="J6:J42" si="0">SUM(B6:I6)</f>
        <v>33</v>
      </c>
      <c r="K6" s="302">
        <f>J6/'Anlage 1a'!AJ6</f>
        <v>0.15348837209302327</v>
      </c>
    </row>
    <row r="7" spans="1:12" x14ac:dyDescent="0.25">
      <c r="A7" s="301" t="s">
        <v>24</v>
      </c>
      <c r="B7" s="486">
        <v>2</v>
      </c>
      <c r="C7" s="486">
        <v>0</v>
      </c>
      <c r="D7" s="486">
        <v>0</v>
      </c>
      <c r="E7" s="486">
        <v>0</v>
      </c>
      <c r="F7" s="486">
        <v>0</v>
      </c>
      <c r="G7" s="486">
        <v>0</v>
      </c>
      <c r="H7" s="486">
        <v>0</v>
      </c>
      <c r="I7" s="486">
        <v>41</v>
      </c>
      <c r="J7" s="917">
        <f t="shared" si="0"/>
        <v>43</v>
      </c>
      <c r="K7" s="302">
        <f>J7/'Anlage 1a'!AJ7</f>
        <v>0.19724770642201836</v>
      </c>
    </row>
    <row r="8" spans="1:12" x14ac:dyDescent="0.25">
      <c r="A8" s="301" t="s">
        <v>291</v>
      </c>
      <c r="B8" s="486">
        <v>0</v>
      </c>
      <c r="C8" s="486">
        <v>0</v>
      </c>
      <c r="D8" s="486">
        <v>1</v>
      </c>
      <c r="E8" s="486">
        <v>0</v>
      </c>
      <c r="F8" s="486">
        <v>0</v>
      </c>
      <c r="G8" s="486">
        <v>1</v>
      </c>
      <c r="H8" s="486">
        <v>0</v>
      </c>
      <c r="I8" s="486">
        <v>26</v>
      </c>
      <c r="J8" s="917">
        <f t="shared" si="0"/>
        <v>28</v>
      </c>
      <c r="K8" s="302">
        <f>J8/'Anlage 1a'!AJ8</f>
        <v>0.17721518987341772</v>
      </c>
    </row>
    <row r="9" spans="1:12" x14ac:dyDescent="0.25">
      <c r="A9" s="303" t="s">
        <v>25</v>
      </c>
      <c r="B9" s="928">
        <f>SUM(B5:B8)</f>
        <v>3</v>
      </c>
      <c r="C9" s="928">
        <f t="shared" ref="C9:I9" si="1">SUM(C5:C8)</f>
        <v>3</v>
      </c>
      <c r="D9" s="928">
        <f t="shared" si="1"/>
        <v>4</v>
      </c>
      <c r="E9" s="928">
        <f t="shared" si="1"/>
        <v>1</v>
      </c>
      <c r="F9" s="928">
        <f t="shared" si="1"/>
        <v>0</v>
      </c>
      <c r="G9" s="928">
        <f t="shared" si="1"/>
        <v>1</v>
      </c>
      <c r="H9" s="928">
        <f t="shared" si="1"/>
        <v>0</v>
      </c>
      <c r="I9" s="928">
        <f t="shared" si="1"/>
        <v>142</v>
      </c>
      <c r="J9" s="925">
        <f t="shared" si="0"/>
        <v>154</v>
      </c>
      <c r="K9" s="929">
        <f>J9/'Anlage 1a'!AJ9</f>
        <v>0.18757612667478685</v>
      </c>
    </row>
    <row r="10" spans="1:12" hidden="1" x14ac:dyDescent="0.25">
      <c r="A10" s="787" t="s">
        <v>26</v>
      </c>
      <c r="B10" s="830"/>
      <c r="C10" s="830"/>
      <c r="D10" s="830"/>
      <c r="E10" s="830"/>
      <c r="F10" s="830"/>
      <c r="G10" s="830"/>
      <c r="H10" s="830"/>
      <c r="I10" s="830"/>
      <c r="J10" s="918"/>
      <c r="K10" s="788"/>
    </row>
    <row r="11" spans="1:12" x14ac:dyDescent="0.25">
      <c r="A11" s="301" t="s">
        <v>27</v>
      </c>
      <c r="B11" s="486">
        <v>5</v>
      </c>
      <c r="C11" s="486">
        <v>0</v>
      </c>
      <c r="D11" s="486">
        <v>1</v>
      </c>
      <c r="E11" s="486">
        <v>0</v>
      </c>
      <c r="F11" s="486">
        <v>0</v>
      </c>
      <c r="G11" s="486">
        <v>2</v>
      </c>
      <c r="H11" s="486">
        <v>0</v>
      </c>
      <c r="I11" s="486">
        <v>29</v>
      </c>
      <c r="J11" s="917">
        <f t="shared" si="0"/>
        <v>37</v>
      </c>
      <c r="K11" s="302">
        <f>J11/'Anlage 1a'!AJ11</f>
        <v>0.12374581939799331</v>
      </c>
    </row>
    <row r="12" spans="1:12" x14ac:dyDescent="0.25">
      <c r="A12" s="301" t="s">
        <v>28</v>
      </c>
      <c r="B12" s="486">
        <v>13</v>
      </c>
      <c r="C12" s="486">
        <v>2</v>
      </c>
      <c r="D12" s="486">
        <v>4</v>
      </c>
      <c r="E12" s="486">
        <v>0</v>
      </c>
      <c r="F12" s="486">
        <v>0</v>
      </c>
      <c r="G12" s="486">
        <v>8</v>
      </c>
      <c r="H12" s="486">
        <v>0</v>
      </c>
      <c r="I12" s="486">
        <v>34</v>
      </c>
      <c r="J12" s="917">
        <f t="shared" si="0"/>
        <v>61</v>
      </c>
      <c r="K12" s="302">
        <f>J12/'Anlage 1a'!AJ12</f>
        <v>0.34463276836158191</v>
      </c>
    </row>
    <row r="13" spans="1:12" x14ac:dyDescent="0.25">
      <c r="A13" s="301" t="s">
        <v>29</v>
      </c>
      <c r="B13" s="486">
        <v>1</v>
      </c>
      <c r="C13" s="486">
        <v>0</v>
      </c>
      <c r="D13" s="486">
        <v>0</v>
      </c>
      <c r="E13" s="486">
        <v>0</v>
      </c>
      <c r="F13" s="486">
        <v>0</v>
      </c>
      <c r="G13" s="486">
        <v>0</v>
      </c>
      <c r="H13" s="486">
        <v>0</v>
      </c>
      <c r="I13" s="486">
        <v>32</v>
      </c>
      <c r="J13" s="917">
        <f>SUM(B13:I13)</f>
        <v>33</v>
      </c>
      <c r="K13" s="302">
        <f>J13/'Anlage 1a'!AJ13</f>
        <v>0.1064516129032258</v>
      </c>
    </row>
    <row r="14" spans="1:12" x14ac:dyDescent="0.25">
      <c r="A14" s="301" t="s">
        <v>58</v>
      </c>
      <c r="B14" s="486">
        <v>1</v>
      </c>
      <c r="C14" s="486">
        <v>0</v>
      </c>
      <c r="D14" s="486">
        <v>0</v>
      </c>
      <c r="E14" s="486">
        <v>1</v>
      </c>
      <c r="F14" s="486">
        <v>0</v>
      </c>
      <c r="G14" s="486">
        <v>0</v>
      </c>
      <c r="H14" s="486">
        <v>0</v>
      </c>
      <c r="I14" s="486">
        <v>18</v>
      </c>
      <c r="J14" s="917">
        <f t="shared" si="0"/>
        <v>20</v>
      </c>
      <c r="K14" s="302">
        <f>J14/'Anlage 1a'!AJ14</f>
        <v>7.4906367041198504E-2</v>
      </c>
    </row>
    <row r="15" spans="1:12" x14ac:dyDescent="0.25">
      <c r="A15" s="301" t="s">
        <v>292</v>
      </c>
      <c r="B15" s="486">
        <v>0</v>
      </c>
      <c r="C15" s="486">
        <v>0</v>
      </c>
      <c r="D15" s="486">
        <v>1</v>
      </c>
      <c r="E15" s="486">
        <v>0</v>
      </c>
      <c r="F15" s="486">
        <v>0</v>
      </c>
      <c r="G15" s="486">
        <v>0</v>
      </c>
      <c r="H15" s="486">
        <v>0</v>
      </c>
      <c r="I15" s="486">
        <v>24</v>
      </c>
      <c r="J15" s="917">
        <f t="shared" si="0"/>
        <v>25</v>
      </c>
      <c r="K15" s="302">
        <f>J15/'Anlage 1a'!AJ15</f>
        <v>7.9872204472843447E-2</v>
      </c>
    </row>
    <row r="16" spans="1:12" x14ac:dyDescent="0.25">
      <c r="A16" s="303" t="s">
        <v>30</v>
      </c>
      <c r="B16" s="928">
        <f>SUM(B10:B15)</f>
        <v>20</v>
      </c>
      <c r="C16" s="928">
        <f t="shared" ref="C16:I16" si="2">SUM(C10:C15)</f>
        <v>2</v>
      </c>
      <c r="D16" s="928">
        <f t="shared" si="2"/>
        <v>6</v>
      </c>
      <c r="E16" s="928">
        <f t="shared" si="2"/>
        <v>1</v>
      </c>
      <c r="F16" s="928">
        <f t="shared" si="2"/>
        <v>0</v>
      </c>
      <c r="G16" s="928">
        <f t="shared" si="2"/>
        <v>10</v>
      </c>
      <c r="H16" s="928">
        <f t="shared" si="2"/>
        <v>0</v>
      </c>
      <c r="I16" s="928">
        <f t="shared" si="2"/>
        <v>137</v>
      </c>
      <c r="J16" s="925">
        <f t="shared" si="0"/>
        <v>176</v>
      </c>
      <c r="K16" s="929">
        <f>J16/'Anlage 1a'!AJ16</f>
        <v>0.12884333821376281</v>
      </c>
    </row>
    <row r="17" spans="1:11" x14ac:dyDescent="0.25">
      <c r="A17" s="301" t="s">
        <v>317</v>
      </c>
      <c r="B17" s="486">
        <v>0</v>
      </c>
      <c r="C17" s="486">
        <v>0</v>
      </c>
      <c r="D17" s="486">
        <v>2</v>
      </c>
      <c r="E17" s="486">
        <v>0</v>
      </c>
      <c r="F17" s="486">
        <v>0</v>
      </c>
      <c r="G17" s="486">
        <v>0</v>
      </c>
      <c r="H17" s="486">
        <v>0</v>
      </c>
      <c r="I17" s="486">
        <v>20</v>
      </c>
      <c r="J17" s="917">
        <f t="shared" si="0"/>
        <v>22</v>
      </c>
      <c r="K17" s="302">
        <f>J17/'Anlage 1a'!AJ17</f>
        <v>0.23655913978494625</v>
      </c>
    </row>
    <row r="18" spans="1:11" x14ac:dyDescent="0.25">
      <c r="A18" s="301" t="s">
        <v>316</v>
      </c>
      <c r="B18" s="486">
        <v>3</v>
      </c>
      <c r="C18" s="486">
        <v>0</v>
      </c>
      <c r="D18" s="486">
        <v>1</v>
      </c>
      <c r="E18" s="486">
        <v>0</v>
      </c>
      <c r="F18" s="486">
        <v>0</v>
      </c>
      <c r="G18" s="486">
        <v>0</v>
      </c>
      <c r="H18" s="486">
        <v>0</v>
      </c>
      <c r="I18" s="486">
        <v>29</v>
      </c>
      <c r="J18" s="917">
        <f t="shared" si="0"/>
        <v>33</v>
      </c>
      <c r="K18" s="302">
        <f>J18/'Anlage 1a'!AJ18</f>
        <v>0.19879518072289157</v>
      </c>
    </row>
    <row r="19" spans="1:11" x14ac:dyDescent="0.25">
      <c r="A19" s="301" t="s">
        <v>289</v>
      </c>
      <c r="B19" s="486">
        <v>1</v>
      </c>
      <c r="C19" s="486">
        <v>0</v>
      </c>
      <c r="D19" s="486">
        <v>0</v>
      </c>
      <c r="E19" s="486">
        <v>1</v>
      </c>
      <c r="F19" s="486">
        <v>0</v>
      </c>
      <c r="G19" s="486">
        <v>0</v>
      </c>
      <c r="H19" s="486">
        <v>0</v>
      </c>
      <c r="I19" s="486">
        <v>17</v>
      </c>
      <c r="J19" s="917">
        <f t="shared" si="0"/>
        <v>19</v>
      </c>
      <c r="K19" s="302">
        <f>J19/'Anlage 1a'!AJ19</f>
        <v>9.7938144329896906E-2</v>
      </c>
    </row>
    <row r="20" spans="1:11" x14ac:dyDescent="0.25">
      <c r="A20" s="301" t="s">
        <v>290</v>
      </c>
      <c r="B20" s="486">
        <v>1</v>
      </c>
      <c r="C20" s="486">
        <v>0</v>
      </c>
      <c r="D20" s="486">
        <v>0</v>
      </c>
      <c r="E20" s="486">
        <v>0</v>
      </c>
      <c r="F20" s="486">
        <v>0</v>
      </c>
      <c r="G20" s="486">
        <v>0</v>
      </c>
      <c r="H20" s="486">
        <v>0</v>
      </c>
      <c r="I20" s="486">
        <v>8</v>
      </c>
      <c r="J20" s="917">
        <f t="shared" si="0"/>
        <v>9</v>
      </c>
      <c r="K20" s="302">
        <f>J20/'Anlage 1a'!AJ20</f>
        <v>9.1836734693877556E-2</v>
      </c>
    </row>
    <row r="21" spans="1:11" x14ac:dyDescent="0.25">
      <c r="A21" s="301" t="s">
        <v>51</v>
      </c>
      <c r="B21" s="486">
        <v>6</v>
      </c>
      <c r="C21" s="486">
        <v>2</v>
      </c>
      <c r="D21" s="486">
        <v>2</v>
      </c>
      <c r="E21" s="486">
        <v>1</v>
      </c>
      <c r="F21" s="486">
        <v>0</v>
      </c>
      <c r="G21" s="486">
        <v>14</v>
      </c>
      <c r="H21" s="486">
        <v>1</v>
      </c>
      <c r="I21" s="486">
        <v>27</v>
      </c>
      <c r="J21" s="917">
        <f t="shared" si="0"/>
        <v>53</v>
      </c>
      <c r="K21" s="302">
        <f>J21/'Anlage 1a'!AJ21</f>
        <v>0.19776119402985073</v>
      </c>
    </row>
    <row r="22" spans="1:11" x14ac:dyDescent="0.25">
      <c r="A22" s="303" t="s">
        <v>31</v>
      </c>
      <c r="B22" s="928">
        <f>SUM(B17:B21)</f>
        <v>11</v>
      </c>
      <c r="C22" s="928">
        <f t="shared" ref="C22:I22" si="3">SUM(C17:C21)</f>
        <v>2</v>
      </c>
      <c r="D22" s="928">
        <f t="shared" si="3"/>
        <v>5</v>
      </c>
      <c r="E22" s="928">
        <f t="shared" si="3"/>
        <v>2</v>
      </c>
      <c r="F22" s="928">
        <f t="shared" si="3"/>
        <v>0</v>
      </c>
      <c r="G22" s="928">
        <f t="shared" si="3"/>
        <v>14</v>
      </c>
      <c r="H22" s="928">
        <f t="shared" si="3"/>
        <v>1</v>
      </c>
      <c r="I22" s="928">
        <f t="shared" si="3"/>
        <v>101</v>
      </c>
      <c r="J22" s="925">
        <f>SUM(B22:I22)</f>
        <v>136</v>
      </c>
      <c r="K22" s="929">
        <f>J22/'Anlage 1a'!AJ22</f>
        <v>0.16605616605616605</v>
      </c>
    </row>
    <row r="23" spans="1:11" x14ac:dyDescent="0.25">
      <c r="A23" s="301" t="s">
        <v>32</v>
      </c>
      <c r="B23" s="486">
        <v>3</v>
      </c>
      <c r="C23" s="486">
        <v>0</v>
      </c>
      <c r="D23" s="486">
        <v>0</v>
      </c>
      <c r="E23" s="486">
        <v>1</v>
      </c>
      <c r="F23" s="486">
        <v>1</v>
      </c>
      <c r="G23" s="486">
        <v>0</v>
      </c>
      <c r="H23" s="486">
        <v>0</v>
      </c>
      <c r="I23" s="486">
        <v>26</v>
      </c>
      <c r="J23" s="917">
        <f t="shared" si="0"/>
        <v>31</v>
      </c>
      <c r="K23" s="302">
        <f>J23/'Anlage 1a'!AJ23</f>
        <v>9.1445427728613568E-2</v>
      </c>
    </row>
    <row r="24" spans="1:11" x14ac:dyDescent="0.25">
      <c r="A24" s="301" t="s">
        <v>33</v>
      </c>
      <c r="B24" s="486">
        <v>1</v>
      </c>
      <c r="C24" s="486">
        <v>1</v>
      </c>
      <c r="D24" s="486">
        <v>0</v>
      </c>
      <c r="E24" s="486">
        <v>1</v>
      </c>
      <c r="F24" s="486">
        <v>0</v>
      </c>
      <c r="G24" s="486">
        <v>0</v>
      </c>
      <c r="H24" s="486">
        <v>0</v>
      </c>
      <c r="I24" s="486">
        <v>7</v>
      </c>
      <c r="J24" s="917">
        <f t="shared" si="0"/>
        <v>10</v>
      </c>
      <c r="K24" s="302">
        <f>J24/'Anlage 1a'!AJ24</f>
        <v>5.2356020942408377E-2</v>
      </c>
    </row>
    <row r="25" spans="1:11" x14ac:dyDescent="0.25">
      <c r="A25" s="303" t="s">
        <v>34</v>
      </c>
      <c r="B25" s="928">
        <f t="shared" ref="B25:I25" si="4">SUM(B23:B24)</f>
        <v>4</v>
      </c>
      <c r="C25" s="928">
        <f t="shared" si="4"/>
        <v>1</v>
      </c>
      <c r="D25" s="928">
        <f t="shared" si="4"/>
        <v>0</v>
      </c>
      <c r="E25" s="928">
        <f t="shared" si="4"/>
        <v>2</v>
      </c>
      <c r="F25" s="928">
        <f t="shared" si="4"/>
        <v>1</v>
      </c>
      <c r="G25" s="928">
        <f t="shared" si="4"/>
        <v>0</v>
      </c>
      <c r="H25" s="928">
        <f t="shared" si="4"/>
        <v>0</v>
      </c>
      <c r="I25" s="928">
        <f t="shared" si="4"/>
        <v>33</v>
      </c>
      <c r="J25" s="925">
        <f t="shared" si="0"/>
        <v>41</v>
      </c>
      <c r="K25" s="929">
        <f>J25/'Anlage 1a'!AJ25</f>
        <v>7.7358490566037733E-2</v>
      </c>
    </row>
    <row r="26" spans="1:11" x14ac:dyDescent="0.25">
      <c r="A26" s="303" t="s">
        <v>35</v>
      </c>
      <c r="B26" s="928">
        <f>B9+B16+B22+B25</f>
        <v>38</v>
      </c>
      <c r="C26" s="928">
        <f t="shared" ref="C26:I26" si="5">C9+C16+C22+C25</f>
        <v>8</v>
      </c>
      <c r="D26" s="928">
        <f t="shared" si="5"/>
        <v>15</v>
      </c>
      <c r="E26" s="928">
        <f t="shared" si="5"/>
        <v>6</v>
      </c>
      <c r="F26" s="928">
        <f t="shared" si="5"/>
        <v>1</v>
      </c>
      <c r="G26" s="928">
        <f t="shared" si="5"/>
        <v>25</v>
      </c>
      <c r="H26" s="928">
        <f t="shared" si="5"/>
        <v>1</v>
      </c>
      <c r="I26" s="928">
        <f t="shared" si="5"/>
        <v>413</v>
      </c>
      <c r="J26" s="925">
        <f t="shared" si="0"/>
        <v>507</v>
      </c>
      <c r="K26" s="929">
        <f>J26/'Anlage 1a'!AJ26</f>
        <v>0.14338235294117646</v>
      </c>
    </row>
    <row r="27" spans="1:11" x14ac:dyDescent="0.25">
      <c r="A27" s="301" t="s">
        <v>36</v>
      </c>
      <c r="B27" s="486">
        <v>26</v>
      </c>
      <c r="C27" s="486">
        <v>3</v>
      </c>
      <c r="D27" s="486">
        <v>5</v>
      </c>
      <c r="E27" s="486">
        <v>0</v>
      </c>
      <c r="F27" s="486">
        <v>0</v>
      </c>
      <c r="G27" s="486">
        <v>7</v>
      </c>
      <c r="H27" s="486">
        <v>2</v>
      </c>
      <c r="I27" s="919"/>
      <c r="J27" s="917">
        <f t="shared" si="0"/>
        <v>43</v>
      </c>
      <c r="K27" s="302">
        <f>J27/'Anlage 1a'!AJ27</f>
        <v>0.15412186379928317</v>
      </c>
    </row>
    <row r="28" spans="1:11" x14ac:dyDescent="0.25">
      <c r="A28" s="303" t="s">
        <v>38</v>
      </c>
      <c r="B28" s="928">
        <f t="shared" ref="B28:H28" si="6">SUM(B27)</f>
        <v>26</v>
      </c>
      <c r="C28" s="928">
        <f t="shared" si="6"/>
        <v>3</v>
      </c>
      <c r="D28" s="928">
        <f t="shared" si="6"/>
        <v>5</v>
      </c>
      <c r="E28" s="928">
        <f t="shared" si="6"/>
        <v>0</v>
      </c>
      <c r="F28" s="928">
        <f t="shared" si="6"/>
        <v>0</v>
      </c>
      <c r="G28" s="928">
        <f t="shared" si="6"/>
        <v>7</v>
      </c>
      <c r="H28" s="928">
        <f t="shared" si="6"/>
        <v>2</v>
      </c>
      <c r="I28" s="930"/>
      <c r="J28" s="925">
        <f t="shared" si="0"/>
        <v>43</v>
      </c>
      <c r="K28" s="929">
        <f>J28/'Anlage 1a'!AJ28</f>
        <v>0.15412186379928317</v>
      </c>
    </row>
    <row r="29" spans="1:11" x14ac:dyDescent="0.25">
      <c r="A29" s="301" t="s">
        <v>282</v>
      </c>
      <c r="B29" s="486">
        <v>27</v>
      </c>
      <c r="C29" s="486">
        <v>1</v>
      </c>
      <c r="D29" s="486">
        <v>5</v>
      </c>
      <c r="E29" s="486">
        <v>0</v>
      </c>
      <c r="F29" s="486">
        <v>0</v>
      </c>
      <c r="G29" s="486">
        <v>0</v>
      </c>
      <c r="H29" s="486">
        <v>0</v>
      </c>
      <c r="I29" s="919"/>
      <c r="J29" s="917">
        <f t="shared" si="0"/>
        <v>33</v>
      </c>
      <c r="K29" s="302">
        <f>J29/'Anlage 1a'!AJ29</f>
        <v>5.2215189873417722E-2</v>
      </c>
    </row>
    <row r="30" spans="1:11" hidden="1" x14ac:dyDescent="0.25">
      <c r="A30" s="787" t="s">
        <v>180</v>
      </c>
      <c r="B30" s="830"/>
      <c r="C30" s="830"/>
      <c r="D30" s="830"/>
      <c r="E30" s="830"/>
      <c r="F30" s="830"/>
      <c r="G30" s="830"/>
      <c r="H30" s="830"/>
      <c r="I30" s="830"/>
      <c r="J30" s="918"/>
      <c r="K30" s="788"/>
    </row>
    <row r="31" spans="1:11" x14ac:dyDescent="0.25">
      <c r="A31" s="303" t="s">
        <v>55</v>
      </c>
      <c r="B31" s="928">
        <f>SUM(B29:B30)</f>
        <v>27</v>
      </c>
      <c r="C31" s="928">
        <f t="shared" ref="C31:H31" si="7">SUM(C29:C30)</f>
        <v>1</v>
      </c>
      <c r="D31" s="928">
        <f t="shared" si="7"/>
        <v>5</v>
      </c>
      <c r="E31" s="928">
        <f t="shared" si="7"/>
        <v>0</v>
      </c>
      <c r="F31" s="928">
        <f t="shared" si="7"/>
        <v>0</v>
      </c>
      <c r="G31" s="928">
        <f t="shared" si="7"/>
        <v>0</v>
      </c>
      <c r="H31" s="928">
        <f t="shared" si="7"/>
        <v>0</v>
      </c>
      <c r="I31" s="930"/>
      <c r="J31" s="925">
        <f t="shared" si="0"/>
        <v>33</v>
      </c>
      <c r="K31" s="929">
        <f>J31/'Anlage 1a'!AJ31</f>
        <v>5.2215189873417722E-2</v>
      </c>
    </row>
    <row r="32" spans="1:11" x14ac:dyDescent="0.25">
      <c r="A32" s="301" t="s">
        <v>39</v>
      </c>
      <c r="B32" s="486">
        <v>0</v>
      </c>
      <c r="C32" s="486">
        <v>0</v>
      </c>
      <c r="D32" s="486">
        <v>0</v>
      </c>
      <c r="E32" s="486">
        <v>0</v>
      </c>
      <c r="F32" s="486">
        <v>0</v>
      </c>
      <c r="G32" s="486">
        <v>0</v>
      </c>
      <c r="H32" s="486">
        <v>0</v>
      </c>
      <c r="I32" s="919"/>
      <c r="J32" s="917">
        <f t="shared" si="0"/>
        <v>0</v>
      </c>
      <c r="K32" s="302">
        <f>J32/'Anlage 1a'!AJ32</f>
        <v>0</v>
      </c>
    </row>
    <row r="33" spans="1:18" x14ac:dyDescent="0.25">
      <c r="A33" s="301" t="s">
        <v>40</v>
      </c>
      <c r="B33" s="486">
        <v>0</v>
      </c>
      <c r="C33" s="486">
        <v>0</v>
      </c>
      <c r="D33" s="486">
        <v>0</v>
      </c>
      <c r="E33" s="486">
        <v>0</v>
      </c>
      <c r="F33" s="486">
        <v>0</v>
      </c>
      <c r="G33" s="486">
        <v>0</v>
      </c>
      <c r="H33" s="486">
        <v>0</v>
      </c>
      <c r="I33" s="919"/>
      <c r="J33" s="917">
        <f t="shared" si="0"/>
        <v>0</v>
      </c>
      <c r="K33" s="302">
        <f>J33/'Anlage 1a'!AJ33</f>
        <v>0</v>
      </c>
    </row>
    <row r="34" spans="1:18" x14ac:dyDescent="0.25">
      <c r="A34" s="301" t="s">
        <v>41</v>
      </c>
      <c r="B34" s="486">
        <v>0</v>
      </c>
      <c r="C34" s="486">
        <v>0</v>
      </c>
      <c r="D34" s="486">
        <v>0</v>
      </c>
      <c r="E34" s="486">
        <v>1</v>
      </c>
      <c r="F34" s="486">
        <v>0</v>
      </c>
      <c r="G34" s="486">
        <v>0</v>
      </c>
      <c r="H34" s="486">
        <v>0</v>
      </c>
      <c r="I34" s="919"/>
      <c r="J34" s="917">
        <f t="shared" si="0"/>
        <v>1</v>
      </c>
      <c r="K34" s="302">
        <f>J34/'Anlage 1a'!AJ34</f>
        <v>1.17096018735363E-3</v>
      </c>
    </row>
    <row r="35" spans="1:18" x14ac:dyDescent="0.25">
      <c r="A35" s="301" t="s">
        <v>283</v>
      </c>
      <c r="B35" s="486">
        <v>8</v>
      </c>
      <c r="C35" s="486">
        <v>0</v>
      </c>
      <c r="D35" s="486">
        <v>5</v>
      </c>
      <c r="E35" s="486">
        <v>0</v>
      </c>
      <c r="F35" s="486">
        <v>0</v>
      </c>
      <c r="G35" s="486">
        <v>1</v>
      </c>
      <c r="H35" s="486">
        <v>1</v>
      </c>
      <c r="I35" s="919"/>
      <c r="J35" s="917">
        <f t="shared" si="0"/>
        <v>15</v>
      </c>
      <c r="K35" s="302">
        <f>J35/'Anlage 1a'!AJ35</f>
        <v>1.9710906701708279E-2</v>
      </c>
    </row>
    <row r="36" spans="1:18" x14ac:dyDescent="0.25">
      <c r="A36" s="303" t="s">
        <v>43</v>
      </c>
      <c r="B36" s="928">
        <f t="shared" ref="B36:H36" si="8">SUM(B32:B35)</f>
        <v>8</v>
      </c>
      <c r="C36" s="928">
        <f t="shared" si="8"/>
        <v>0</v>
      </c>
      <c r="D36" s="928">
        <f t="shared" si="8"/>
        <v>5</v>
      </c>
      <c r="E36" s="928">
        <f t="shared" si="8"/>
        <v>1</v>
      </c>
      <c r="F36" s="928">
        <f t="shared" si="8"/>
        <v>0</v>
      </c>
      <c r="G36" s="928">
        <f t="shared" si="8"/>
        <v>1</v>
      </c>
      <c r="H36" s="928">
        <f t="shared" si="8"/>
        <v>1</v>
      </c>
      <c r="I36" s="930"/>
      <c r="J36" s="925">
        <f t="shared" si="0"/>
        <v>16</v>
      </c>
      <c r="K36" s="929">
        <f>J36/'Anlage 1a'!AJ36</f>
        <v>4.8091373609858729E-3</v>
      </c>
    </row>
    <row r="37" spans="1:18" x14ac:dyDescent="0.25">
      <c r="A37" s="301" t="s">
        <v>44</v>
      </c>
      <c r="B37" s="486">
        <v>24</v>
      </c>
      <c r="C37" s="486">
        <v>4</v>
      </c>
      <c r="D37" s="486">
        <v>9</v>
      </c>
      <c r="E37" s="486">
        <v>1</v>
      </c>
      <c r="F37" s="486">
        <v>0</v>
      </c>
      <c r="G37" s="486">
        <v>2</v>
      </c>
      <c r="H37" s="486">
        <v>0</v>
      </c>
      <c r="I37" s="919"/>
      <c r="J37" s="917">
        <f t="shared" si="0"/>
        <v>40</v>
      </c>
      <c r="K37" s="302">
        <f>J37/'Anlage 1a'!AJ37</f>
        <v>3.9920159680638723E-2</v>
      </c>
    </row>
    <row r="38" spans="1:18" x14ac:dyDescent="0.25">
      <c r="A38" s="301" t="s">
        <v>284</v>
      </c>
      <c r="B38" s="486">
        <v>34</v>
      </c>
      <c r="C38" s="486">
        <v>4</v>
      </c>
      <c r="D38" s="486">
        <v>10</v>
      </c>
      <c r="E38" s="486">
        <v>4</v>
      </c>
      <c r="F38" s="486">
        <v>0</v>
      </c>
      <c r="G38" s="486">
        <v>9</v>
      </c>
      <c r="H38" s="486">
        <v>3</v>
      </c>
      <c r="I38" s="919"/>
      <c r="J38" s="917">
        <f t="shared" si="0"/>
        <v>64</v>
      </c>
      <c r="K38" s="302">
        <f>J38/'Anlage 1a'!AJ38</f>
        <v>6.7368421052631577E-2</v>
      </c>
    </row>
    <row r="39" spans="1:18" x14ac:dyDescent="0.25">
      <c r="A39" s="301" t="s">
        <v>45</v>
      </c>
      <c r="B39" s="486">
        <v>5</v>
      </c>
      <c r="C39" s="486">
        <v>4</v>
      </c>
      <c r="D39" s="486">
        <v>7</v>
      </c>
      <c r="E39" s="486">
        <v>0</v>
      </c>
      <c r="F39" s="486">
        <v>1</v>
      </c>
      <c r="G39" s="486">
        <v>0</v>
      </c>
      <c r="H39" s="486">
        <v>0</v>
      </c>
      <c r="I39" s="919"/>
      <c r="J39" s="917">
        <f t="shared" si="0"/>
        <v>17</v>
      </c>
      <c r="K39" s="302">
        <f>J39/'Anlage 1a'!AJ39</f>
        <v>1.7598343685300208E-2</v>
      </c>
    </row>
    <row r="40" spans="1:18" x14ac:dyDescent="0.25">
      <c r="A40" s="303" t="s">
        <v>46</v>
      </c>
      <c r="B40" s="928">
        <f>SUM(B37:B39)</f>
        <v>63</v>
      </c>
      <c r="C40" s="928">
        <f t="shared" ref="C40:H40" si="9">SUM(C37:C39)</f>
        <v>12</v>
      </c>
      <c r="D40" s="928">
        <f t="shared" si="9"/>
        <v>26</v>
      </c>
      <c r="E40" s="928">
        <f t="shared" si="9"/>
        <v>5</v>
      </c>
      <c r="F40" s="928">
        <f t="shared" si="9"/>
        <v>1</v>
      </c>
      <c r="G40" s="928">
        <f t="shared" si="9"/>
        <v>11</v>
      </c>
      <c r="H40" s="928">
        <f t="shared" si="9"/>
        <v>3</v>
      </c>
      <c r="I40" s="930"/>
      <c r="J40" s="925">
        <f t="shared" si="0"/>
        <v>121</v>
      </c>
      <c r="K40" s="929">
        <f>J40/'Anlage 1a'!AJ40</f>
        <v>4.1466758053461276E-2</v>
      </c>
    </row>
    <row r="41" spans="1:18" x14ac:dyDescent="0.25">
      <c r="A41" s="303" t="s">
        <v>47</v>
      </c>
      <c r="B41" s="928">
        <f>B28+B31+B36+B40</f>
        <v>124</v>
      </c>
      <c r="C41" s="928">
        <f t="shared" ref="C41:H41" si="10">C28+C31+C36+C40</f>
        <v>16</v>
      </c>
      <c r="D41" s="928">
        <f t="shared" si="10"/>
        <v>41</v>
      </c>
      <c r="E41" s="928">
        <f t="shared" si="10"/>
        <v>6</v>
      </c>
      <c r="F41" s="928">
        <f t="shared" si="10"/>
        <v>1</v>
      </c>
      <c r="G41" s="928">
        <f t="shared" si="10"/>
        <v>19</v>
      </c>
      <c r="H41" s="928">
        <f t="shared" si="10"/>
        <v>6</v>
      </c>
      <c r="I41" s="930"/>
      <c r="J41" s="925">
        <f t="shared" si="0"/>
        <v>213</v>
      </c>
      <c r="K41" s="929">
        <f>J41/'Anlage 1a'!AJ41</f>
        <v>2.9765231973169368E-2</v>
      </c>
    </row>
    <row r="42" spans="1:18" x14ac:dyDescent="0.25">
      <c r="A42" s="303" t="s">
        <v>297</v>
      </c>
      <c r="B42" s="928">
        <f>B26+B41</f>
        <v>162</v>
      </c>
      <c r="C42" s="928">
        <f t="shared" ref="C42:I42" si="11">C26+C41</f>
        <v>24</v>
      </c>
      <c r="D42" s="928">
        <f t="shared" si="11"/>
        <v>56</v>
      </c>
      <c r="E42" s="928">
        <f t="shared" si="11"/>
        <v>12</v>
      </c>
      <c r="F42" s="928">
        <f t="shared" si="11"/>
        <v>2</v>
      </c>
      <c r="G42" s="928">
        <f t="shared" si="11"/>
        <v>44</v>
      </c>
      <c r="H42" s="928">
        <f t="shared" si="11"/>
        <v>7</v>
      </c>
      <c r="I42" s="928">
        <f t="shared" si="11"/>
        <v>413</v>
      </c>
      <c r="J42" s="925">
        <f t="shared" si="0"/>
        <v>720</v>
      </c>
      <c r="K42" s="929">
        <f>J42/('Anlage 1a'!AJ26+'Anlage 1a'!AJ41)</f>
        <v>6.7340067340067339E-2</v>
      </c>
    </row>
    <row r="43" spans="1:18" hidden="1" x14ac:dyDescent="0.25">
      <c r="A43" s="787" t="s">
        <v>285</v>
      </c>
      <c r="B43" s="931"/>
      <c r="C43" s="931"/>
      <c r="D43" s="931"/>
      <c r="E43" s="931"/>
      <c r="F43" s="931"/>
      <c r="G43" s="931"/>
      <c r="H43" s="931"/>
      <c r="I43" s="931"/>
      <c r="J43" s="831"/>
      <c r="K43" s="932"/>
    </row>
    <row r="44" spans="1:18" ht="14.25" thickBot="1" x14ac:dyDescent="0.3">
      <c r="A44" s="927" t="s">
        <v>48</v>
      </c>
      <c r="B44" s="933">
        <f>B26+B41+B43</f>
        <v>162</v>
      </c>
      <c r="C44" s="933">
        <f t="shared" ref="C44:I44" si="12">C26+C41+C43</f>
        <v>24</v>
      </c>
      <c r="D44" s="933">
        <f t="shared" si="12"/>
        <v>56</v>
      </c>
      <c r="E44" s="933">
        <f t="shared" si="12"/>
        <v>12</v>
      </c>
      <c r="F44" s="933">
        <f t="shared" si="12"/>
        <v>2</v>
      </c>
      <c r="G44" s="933">
        <f t="shared" si="12"/>
        <v>44</v>
      </c>
      <c r="H44" s="933">
        <f>H26+H41+H43</f>
        <v>7</v>
      </c>
      <c r="I44" s="933">
        <f t="shared" si="12"/>
        <v>413</v>
      </c>
      <c r="J44" s="926">
        <f>SUM(B44:I44)</f>
        <v>720</v>
      </c>
      <c r="K44" s="934">
        <f>J44/'Anlage 1a'!AJ45</f>
        <v>6.7340067340067339E-2</v>
      </c>
    </row>
    <row r="46" spans="1:18" x14ac:dyDescent="0.25">
      <c r="A46" s="924" t="s">
        <v>267</v>
      </c>
      <c r="B46" s="921"/>
      <c r="C46" s="921"/>
      <c r="D46" s="921"/>
      <c r="E46" s="921"/>
      <c r="F46" s="921"/>
      <c r="G46" s="921"/>
      <c r="H46" s="921"/>
      <c r="I46" s="921"/>
      <c r="J46" s="9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920" t="s">
        <v>268</v>
      </c>
      <c r="B47" s="921" t="s">
        <v>278</v>
      </c>
      <c r="C47" s="921"/>
      <c r="D47" s="920" t="s">
        <v>269</v>
      </c>
      <c r="E47" s="921"/>
      <c r="F47" s="921"/>
      <c r="G47" s="921"/>
      <c r="H47" s="921"/>
      <c r="I47" s="921" t="s">
        <v>279</v>
      </c>
      <c r="J47" s="921"/>
      <c r="L47" s="267"/>
      <c r="M47" s="121"/>
      <c r="N47" s="121"/>
      <c r="O47" s="121"/>
    </row>
    <row r="48" spans="1:18" x14ac:dyDescent="0.25">
      <c r="A48" s="920" t="s">
        <v>270</v>
      </c>
      <c r="B48" s="921" t="s">
        <v>264</v>
      </c>
      <c r="C48" s="921"/>
      <c r="D48" s="920" t="s">
        <v>271</v>
      </c>
      <c r="E48" s="921"/>
      <c r="F48" s="921"/>
      <c r="G48" s="921"/>
      <c r="H48" s="921"/>
      <c r="I48" s="921" t="s">
        <v>276</v>
      </c>
      <c r="J48" s="921"/>
      <c r="L48" s="267"/>
      <c r="M48" s="121"/>
      <c r="N48" s="121"/>
      <c r="O48" s="121"/>
    </row>
    <row r="49" spans="1:18" ht="13.5" customHeight="1" x14ac:dyDescent="0.25">
      <c r="A49" s="922" t="s">
        <v>272</v>
      </c>
      <c r="B49" s="921" t="s">
        <v>275</v>
      </c>
      <c r="C49" s="921"/>
      <c r="D49" s="920" t="s">
        <v>273</v>
      </c>
      <c r="E49" s="921"/>
      <c r="F49" s="921"/>
      <c r="G49" s="921"/>
      <c r="H49" s="921"/>
      <c r="I49" s="921" t="s">
        <v>277</v>
      </c>
      <c r="J49" s="921"/>
      <c r="L49" s="121"/>
      <c r="M49" s="121"/>
      <c r="N49" s="121"/>
      <c r="O49" s="121"/>
    </row>
    <row r="50" spans="1:18" x14ac:dyDescent="0.25">
      <c r="A50" s="920" t="s">
        <v>274</v>
      </c>
      <c r="B50" s="921" t="s">
        <v>281</v>
      </c>
      <c r="C50" s="921"/>
      <c r="D50" s="921"/>
      <c r="E50" s="920"/>
      <c r="F50" s="921"/>
      <c r="G50" s="921"/>
      <c r="H50" s="921"/>
      <c r="I50" s="921"/>
      <c r="J50" s="923"/>
      <c r="L50" s="121"/>
      <c r="M50" s="121"/>
      <c r="N50" s="121"/>
      <c r="O50" s="121"/>
      <c r="P50" s="121"/>
      <c r="Q50" s="121"/>
      <c r="R50" s="121"/>
    </row>
  </sheetData>
  <mergeCells count="2">
    <mergeCell ref="A1:K1"/>
    <mergeCell ref="B3:H3"/>
  </mergeCells>
  <phoneticPr fontId="2" type="noConversion"/>
  <hyperlinks>
    <hyperlink ref="L1" location="Übersicht!A1" display="zurück zur Übersicht!"/>
  </hyperlinks>
  <printOptions horizontalCentered="1" verticalCentered="1"/>
  <pageMargins left="0.39370078740157483" right="0.39370078740157483" top="0.98425196850393704" bottom="0.39370078740157483" header="0.78740157480314965" footer="0"/>
  <pageSetup paperSize="9" scale="79" orientation="landscape" verticalDpi="300" r:id="rId1"/>
  <headerFooter alignWithMargins="0">
    <oddHeader>&amp;L&amp;"PT Sans,Standard"Fachbereich 9&amp;R&amp;"PT Sans,Standard"&amp;A</oddHeader>
    <oddFooter>&amp;C&amp;"PT Sans,Standard"Seite &amp;P</oddFooter>
  </headerFooter>
  <colBreaks count="1" manualBreakCount="1">
    <brk id="10" max="4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2"/>
  <sheetViews>
    <sheetView view="pageLayout" topLeftCell="A6" zoomScaleNormal="90" zoomScaleSheetLayoutView="100" workbookViewId="0">
      <selection activeCell="D42" sqref="D42"/>
    </sheetView>
  </sheetViews>
  <sheetFormatPr baseColWidth="10" defaultRowHeight="13.5" x14ac:dyDescent="0.25"/>
  <cols>
    <col min="1" max="1" width="8.28515625" style="3" customWidth="1"/>
    <col min="2" max="2" width="10" style="3" customWidth="1"/>
    <col min="3" max="3" width="8.85546875" style="3" hidden="1" customWidth="1"/>
    <col min="4" max="4" width="8.85546875" style="3" customWidth="1"/>
    <col min="5" max="6" width="8.85546875" style="3" hidden="1" customWidth="1"/>
    <col min="7" max="7" width="11.42578125" style="3"/>
    <col min="8" max="8" width="14.140625" style="3" customWidth="1"/>
    <col min="9" max="16384" width="11.42578125" style="3"/>
  </cols>
  <sheetData>
    <row r="1" spans="1:11" ht="15.75" x14ac:dyDescent="0.25">
      <c r="A1" s="312" t="s">
        <v>69</v>
      </c>
      <c r="B1" s="312"/>
      <c r="C1" s="312"/>
      <c r="D1" s="312"/>
      <c r="E1" s="312"/>
      <c r="F1" s="312"/>
      <c r="G1" s="312"/>
      <c r="H1" s="2"/>
      <c r="K1" s="261" t="s">
        <v>204</v>
      </c>
    </row>
    <row r="2" spans="1:11" ht="15.75" x14ac:dyDescent="0.25">
      <c r="A2" s="312" t="s">
        <v>70</v>
      </c>
      <c r="B2" s="312"/>
      <c r="C2" s="312"/>
      <c r="D2" s="312"/>
      <c r="E2" s="312"/>
      <c r="F2" s="312"/>
      <c r="G2" s="312"/>
      <c r="H2" s="2"/>
    </row>
    <row r="3" spans="1:11" ht="15.75" x14ac:dyDescent="0.25">
      <c r="A3" s="312" t="s">
        <v>71</v>
      </c>
      <c r="B3" s="312"/>
      <c r="C3" s="312"/>
      <c r="D3" s="312"/>
      <c r="E3" s="312"/>
      <c r="F3" s="312"/>
      <c r="G3" s="312"/>
      <c r="H3" s="2"/>
    </row>
    <row r="4" spans="1:11" ht="14.25" thickBot="1" x14ac:dyDescent="0.3"/>
    <row r="5" spans="1:11" ht="15.75" x14ac:dyDescent="0.25">
      <c r="A5" s="953" t="s">
        <v>19</v>
      </c>
      <c r="B5" s="954"/>
      <c r="C5" s="955" t="s">
        <v>320</v>
      </c>
      <c r="D5" s="956"/>
      <c r="E5" s="956"/>
      <c r="F5" s="956"/>
      <c r="G5" s="957"/>
      <c r="H5" s="349" t="s">
        <v>331</v>
      </c>
    </row>
    <row r="6" spans="1:11" ht="99.75" customHeight="1" thickBot="1" x14ac:dyDescent="0.3">
      <c r="A6" s="350" t="s">
        <v>73</v>
      </c>
      <c r="B6" s="351"/>
      <c r="C6" s="352"/>
      <c r="D6" s="352" t="s">
        <v>36</v>
      </c>
      <c r="E6" s="352" t="s">
        <v>37</v>
      </c>
      <c r="F6" s="353"/>
      <c r="G6" s="354" t="s">
        <v>38</v>
      </c>
      <c r="H6" s="355" t="s">
        <v>74</v>
      </c>
    </row>
    <row r="7" spans="1:11" x14ac:dyDescent="0.25">
      <c r="A7" s="356" t="s">
        <v>75</v>
      </c>
      <c r="B7" s="357"/>
      <c r="C7" s="308"/>
      <c r="D7" s="308">
        <v>0</v>
      </c>
      <c r="E7" s="308"/>
      <c r="F7" s="308"/>
      <c r="G7" s="161">
        <f t="shared" ref="G7:G42" si="0">SUM(C7:F7)</f>
        <v>0</v>
      </c>
      <c r="H7" s="358"/>
    </row>
    <row r="8" spans="1:11" x14ac:dyDescent="0.25">
      <c r="A8" s="356" t="s">
        <v>76</v>
      </c>
      <c r="B8" s="357"/>
      <c r="C8" s="308"/>
      <c r="D8" s="308">
        <v>0</v>
      </c>
      <c r="E8" s="308"/>
      <c r="F8" s="308"/>
      <c r="G8" s="161">
        <f t="shared" si="0"/>
        <v>0</v>
      </c>
      <c r="H8" s="358"/>
    </row>
    <row r="9" spans="1:11" x14ac:dyDescent="0.25">
      <c r="A9" s="958" t="s">
        <v>77</v>
      </c>
      <c r="B9" s="959"/>
      <c r="C9" s="308"/>
      <c r="D9" s="308">
        <v>0</v>
      </c>
      <c r="E9" s="308"/>
      <c r="F9" s="308"/>
      <c r="G9" s="161">
        <f t="shared" si="0"/>
        <v>0</v>
      </c>
      <c r="H9" s="358"/>
    </row>
    <row r="10" spans="1:11" x14ac:dyDescent="0.25">
      <c r="A10" s="958" t="s">
        <v>301</v>
      </c>
      <c r="B10" s="959"/>
      <c r="C10" s="308"/>
      <c r="D10" s="308">
        <v>0</v>
      </c>
      <c r="E10" s="308"/>
      <c r="F10" s="308"/>
      <c r="G10" s="161">
        <f t="shared" si="0"/>
        <v>0</v>
      </c>
      <c r="H10" s="358"/>
    </row>
    <row r="11" spans="1:11" ht="14.25" thickBot="1" x14ac:dyDescent="0.3">
      <c r="A11" s="960" t="s">
        <v>67</v>
      </c>
      <c r="B11" s="961"/>
      <c r="C11" s="308"/>
      <c r="D11" s="308">
        <v>1</v>
      </c>
      <c r="E11" s="308"/>
      <c r="F11" s="308"/>
      <c r="G11" s="161">
        <f t="shared" si="0"/>
        <v>1</v>
      </c>
      <c r="H11" s="358"/>
    </row>
    <row r="12" spans="1:11" ht="20.100000000000001" customHeight="1" thickBot="1" x14ac:dyDescent="0.3">
      <c r="A12" s="359" t="s">
        <v>19</v>
      </c>
      <c r="B12" s="360"/>
      <c r="C12" s="184" t="s">
        <v>53</v>
      </c>
      <c r="D12" s="184">
        <f>SUM(D7:D11)</f>
        <v>1</v>
      </c>
      <c r="E12" s="184">
        <f>SUM(E7:E11)</f>
        <v>0</v>
      </c>
      <c r="F12" s="184"/>
      <c r="G12" s="184">
        <f t="shared" si="0"/>
        <v>1</v>
      </c>
      <c r="H12" s="361" t="s">
        <v>10</v>
      </c>
    </row>
    <row r="13" spans="1:11" x14ac:dyDescent="0.25">
      <c r="A13" s="356" t="s">
        <v>75</v>
      </c>
      <c r="B13" s="357"/>
      <c r="C13" s="308"/>
      <c r="D13" s="308">
        <v>0</v>
      </c>
      <c r="E13" s="308"/>
      <c r="F13" s="308"/>
      <c r="G13" s="161">
        <f t="shared" si="0"/>
        <v>0</v>
      </c>
      <c r="H13" s="362"/>
    </row>
    <row r="14" spans="1:11" x14ac:dyDescent="0.25">
      <c r="A14" s="356" t="s">
        <v>76</v>
      </c>
      <c r="B14" s="357"/>
      <c r="C14" s="308"/>
      <c r="D14" s="308">
        <v>0</v>
      </c>
      <c r="E14" s="308"/>
      <c r="F14" s="308"/>
      <c r="G14" s="161">
        <f t="shared" si="0"/>
        <v>0</v>
      </c>
      <c r="H14" s="362"/>
    </row>
    <row r="15" spans="1:11" x14ac:dyDescent="0.25">
      <c r="A15" s="356" t="s">
        <v>77</v>
      </c>
      <c r="B15" s="357"/>
      <c r="C15" s="308"/>
      <c r="D15" s="308">
        <v>0</v>
      </c>
      <c r="E15" s="308"/>
      <c r="F15" s="308"/>
      <c r="G15" s="161">
        <f>SUM(C15:F15)</f>
        <v>0</v>
      </c>
      <c r="H15" s="362"/>
    </row>
    <row r="16" spans="1:11" x14ac:dyDescent="0.25">
      <c r="A16" s="958" t="s">
        <v>301</v>
      </c>
      <c r="B16" s="959"/>
      <c r="C16" s="308"/>
      <c r="D16" s="308">
        <v>0</v>
      </c>
      <c r="E16" s="308"/>
      <c r="F16" s="308"/>
      <c r="G16" s="161">
        <f>SUM(C16:F16)</f>
        <v>0</v>
      </c>
      <c r="H16" s="358"/>
    </row>
    <row r="17" spans="1:8" ht="14.25" thickBot="1" x14ac:dyDescent="0.3">
      <c r="A17" s="960" t="s">
        <v>67</v>
      </c>
      <c r="B17" s="961"/>
      <c r="C17" s="308"/>
      <c r="D17" s="308">
        <v>0</v>
      </c>
      <c r="E17" s="308"/>
      <c r="F17" s="308"/>
      <c r="G17" s="161">
        <f>SUM(C17:F17)</f>
        <v>0</v>
      </c>
      <c r="H17" s="358"/>
    </row>
    <row r="18" spans="1:8" ht="20.100000000000001" customHeight="1" thickBot="1" x14ac:dyDescent="0.3">
      <c r="A18" s="359" t="s">
        <v>19</v>
      </c>
      <c r="B18" s="601"/>
      <c r="C18" s="184" t="s">
        <v>53</v>
      </c>
      <c r="D18" s="184">
        <f>SUM(D13:D17)</f>
        <v>0</v>
      </c>
      <c r="E18" s="184">
        <f>SUM(E13:E15)</f>
        <v>0</v>
      </c>
      <c r="F18" s="184"/>
      <c r="G18" s="184">
        <f t="shared" si="0"/>
        <v>0</v>
      </c>
      <c r="H18" s="361" t="s">
        <v>11</v>
      </c>
    </row>
    <row r="19" spans="1:8" x14ac:dyDescent="0.25">
      <c r="A19" s="356" t="s">
        <v>75</v>
      </c>
      <c r="B19" s="366"/>
      <c r="C19" s="308"/>
      <c r="D19" s="308">
        <v>7</v>
      </c>
      <c r="E19" s="308"/>
      <c r="F19" s="308"/>
      <c r="G19" s="161">
        <f t="shared" si="0"/>
        <v>7</v>
      </c>
      <c r="H19" s="362"/>
    </row>
    <row r="20" spans="1:8" x14ac:dyDescent="0.25">
      <c r="A20" s="356" t="s">
        <v>76</v>
      </c>
      <c r="B20" s="603"/>
      <c r="C20" s="308"/>
      <c r="D20" s="308">
        <v>2</v>
      </c>
      <c r="E20" s="308"/>
      <c r="F20" s="308"/>
      <c r="G20" s="161">
        <f t="shared" si="0"/>
        <v>2</v>
      </c>
      <c r="H20" s="362"/>
    </row>
    <row r="21" spans="1:8" x14ac:dyDescent="0.25">
      <c r="A21" s="356" t="s">
        <v>77</v>
      </c>
      <c r="B21" s="357"/>
      <c r="C21" s="308"/>
      <c r="D21" s="308">
        <v>0</v>
      </c>
      <c r="E21" s="308"/>
      <c r="F21" s="308"/>
      <c r="G21" s="161">
        <f t="shared" si="0"/>
        <v>0</v>
      </c>
      <c r="H21" s="362"/>
    </row>
    <row r="22" spans="1:8" x14ac:dyDescent="0.25">
      <c r="A22" s="958" t="s">
        <v>301</v>
      </c>
      <c r="B22" s="959"/>
      <c r="C22" s="308"/>
      <c r="D22" s="308">
        <v>1</v>
      </c>
      <c r="E22" s="308"/>
      <c r="F22" s="308"/>
      <c r="G22" s="161">
        <f t="shared" si="0"/>
        <v>1</v>
      </c>
      <c r="H22" s="358"/>
    </row>
    <row r="23" spans="1:8" ht="14.25" thickBot="1" x14ac:dyDescent="0.3">
      <c r="A23" s="960" t="s">
        <v>67</v>
      </c>
      <c r="B23" s="961"/>
      <c r="C23" s="308"/>
      <c r="D23" s="308">
        <v>0</v>
      </c>
      <c r="E23" s="308"/>
      <c r="F23" s="308"/>
      <c r="G23" s="161">
        <f t="shared" si="0"/>
        <v>0</v>
      </c>
      <c r="H23" s="358"/>
    </row>
    <row r="24" spans="1:8" ht="20.100000000000001" customHeight="1" thickBot="1" x14ac:dyDescent="0.3">
      <c r="A24" s="359" t="s">
        <v>19</v>
      </c>
      <c r="B24" s="357"/>
      <c r="C24" s="184" t="s">
        <v>53</v>
      </c>
      <c r="D24" s="184">
        <f>SUM(D19:D23)</f>
        <v>10</v>
      </c>
      <c r="E24" s="184">
        <f>SUM(E19:E21)</f>
        <v>0</v>
      </c>
      <c r="F24" s="184"/>
      <c r="G24" s="184">
        <f t="shared" si="0"/>
        <v>10</v>
      </c>
      <c r="H24" s="361" t="s">
        <v>12</v>
      </c>
    </row>
    <row r="25" spans="1:8" x14ac:dyDescent="0.25">
      <c r="A25" s="356" t="s">
        <v>75</v>
      </c>
      <c r="B25" s="366"/>
      <c r="C25" s="308"/>
      <c r="D25" s="308">
        <v>2</v>
      </c>
      <c r="E25" s="308"/>
      <c r="F25" s="308"/>
      <c r="G25" s="161">
        <f t="shared" si="0"/>
        <v>2</v>
      </c>
      <c r="H25" s="362"/>
    </row>
    <row r="26" spans="1:8" x14ac:dyDescent="0.25">
      <c r="A26" s="356" t="s">
        <v>76</v>
      </c>
      <c r="B26" s="603"/>
      <c r="C26" s="308"/>
      <c r="D26" s="308">
        <v>1</v>
      </c>
      <c r="E26" s="308"/>
      <c r="F26" s="308"/>
      <c r="G26" s="161">
        <f t="shared" si="0"/>
        <v>1</v>
      </c>
      <c r="H26" s="362"/>
    </row>
    <row r="27" spans="1:8" x14ac:dyDescent="0.25">
      <c r="A27" s="356" t="s">
        <v>77</v>
      </c>
      <c r="B27" s="357"/>
      <c r="C27" s="308"/>
      <c r="D27" s="308">
        <v>0</v>
      </c>
      <c r="E27" s="308"/>
      <c r="F27" s="308"/>
      <c r="G27" s="161">
        <f t="shared" si="0"/>
        <v>0</v>
      </c>
      <c r="H27" s="362"/>
    </row>
    <row r="28" spans="1:8" x14ac:dyDescent="0.25">
      <c r="A28" s="958" t="s">
        <v>301</v>
      </c>
      <c r="B28" s="959"/>
      <c r="C28" s="308"/>
      <c r="D28" s="308">
        <v>1</v>
      </c>
      <c r="E28" s="308"/>
      <c r="F28" s="308"/>
      <c r="G28" s="161">
        <f t="shared" si="0"/>
        <v>1</v>
      </c>
      <c r="H28" s="358"/>
    </row>
    <row r="29" spans="1:8" ht="14.25" thickBot="1" x14ac:dyDescent="0.3">
      <c r="A29" s="960" t="s">
        <v>67</v>
      </c>
      <c r="B29" s="961"/>
      <c r="C29" s="308"/>
      <c r="D29" s="308">
        <v>1</v>
      </c>
      <c r="E29" s="308"/>
      <c r="F29" s="308"/>
      <c r="G29" s="161">
        <f t="shared" si="0"/>
        <v>1</v>
      </c>
      <c r="H29" s="358"/>
    </row>
    <row r="30" spans="1:8" ht="20.100000000000001" customHeight="1" thickBot="1" x14ac:dyDescent="0.3">
      <c r="A30" s="359" t="s">
        <v>19</v>
      </c>
      <c r="B30" s="357"/>
      <c r="C30" s="184" t="s">
        <v>53</v>
      </c>
      <c r="D30" s="184">
        <f>SUM(D25:D29)</f>
        <v>5</v>
      </c>
      <c r="E30" s="184">
        <f>SUM(E25:E27)</f>
        <v>0</v>
      </c>
      <c r="F30" s="184"/>
      <c r="G30" s="184">
        <f t="shared" si="0"/>
        <v>5</v>
      </c>
      <c r="H30" s="361" t="s">
        <v>13</v>
      </c>
    </row>
    <row r="31" spans="1:8" x14ac:dyDescent="0.25">
      <c r="A31" s="356" t="s">
        <v>75</v>
      </c>
      <c r="B31" s="366"/>
      <c r="C31" s="308"/>
      <c r="D31" s="308">
        <v>0</v>
      </c>
      <c r="E31" s="308"/>
      <c r="F31" s="308"/>
      <c r="G31" s="161">
        <f t="shared" si="0"/>
        <v>0</v>
      </c>
      <c r="H31" s="362"/>
    </row>
    <row r="32" spans="1:8" x14ac:dyDescent="0.25">
      <c r="A32" s="356" t="s">
        <v>76</v>
      </c>
      <c r="B32" s="603"/>
      <c r="C32" s="308"/>
      <c r="D32" s="308">
        <v>2</v>
      </c>
      <c r="E32" s="308"/>
      <c r="F32" s="308"/>
      <c r="G32" s="161">
        <f t="shared" si="0"/>
        <v>2</v>
      </c>
      <c r="H32" s="362"/>
    </row>
    <row r="33" spans="1:8" x14ac:dyDescent="0.25">
      <c r="A33" s="356" t="s">
        <v>77</v>
      </c>
      <c r="B33" s="357"/>
      <c r="C33" s="308"/>
      <c r="D33" s="308">
        <v>0</v>
      </c>
      <c r="E33" s="308"/>
      <c r="F33" s="308"/>
      <c r="G33" s="161">
        <f t="shared" si="0"/>
        <v>0</v>
      </c>
      <c r="H33" s="362"/>
    </row>
    <row r="34" spans="1:8" x14ac:dyDescent="0.25">
      <c r="A34" s="958" t="s">
        <v>301</v>
      </c>
      <c r="B34" s="959"/>
      <c r="C34" s="308"/>
      <c r="D34" s="308">
        <v>0</v>
      </c>
      <c r="E34" s="308"/>
      <c r="F34" s="308"/>
      <c r="G34" s="161">
        <f t="shared" si="0"/>
        <v>0</v>
      </c>
      <c r="H34" s="358"/>
    </row>
    <row r="35" spans="1:8" ht="14.25" thickBot="1" x14ac:dyDescent="0.3">
      <c r="A35" s="960" t="s">
        <v>67</v>
      </c>
      <c r="B35" s="961"/>
      <c r="C35" s="308"/>
      <c r="D35" s="308">
        <v>0</v>
      </c>
      <c r="E35" s="308"/>
      <c r="F35" s="308"/>
      <c r="G35" s="161">
        <f t="shared" si="0"/>
        <v>0</v>
      </c>
      <c r="H35" s="358"/>
    </row>
    <row r="36" spans="1:8" ht="20.100000000000001" customHeight="1" thickBot="1" x14ac:dyDescent="0.3">
      <c r="A36" s="359" t="s">
        <v>19</v>
      </c>
      <c r="B36" s="357"/>
      <c r="C36" s="184" t="s">
        <v>53</v>
      </c>
      <c r="D36" s="184">
        <f>SUM(D31:D35)</f>
        <v>2</v>
      </c>
      <c r="E36" s="184">
        <f>SUM(E31:E33)</f>
        <v>0</v>
      </c>
      <c r="F36" s="184"/>
      <c r="G36" s="184">
        <f t="shared" si="0"/>
        <v>2</v>
      </c>
      <c r="H36" s="361" t="s">
        <v>14</v>
      </c>
    </row>
    <row r="37" spans="1:8" x14ac:dyDescent="0.25">
      <c r="A37" s="356" t="s">
        <v>75</v>
      </c>
      <c r="B37" s="366"/>
      <c r="C37" s="308"/>
      <c r="D37" s="308">
        <v>0</v>
      </c>
      <c r="E37" s="308"/>
      <c r="F37" s="308"/>
      <c r="G37" s="161">
        <f t="shared" si="0"/>
        <v>0</v>
      </c>
      <c r="H37" s="362"/>
    </row>
    <row r="38" spans="1:8" x14ac:dyDescent="0.25">
      <c r="A38" s="356" t="s">
        <v>76</v>
      </c>
      <c r="B38" s="603"/>
      <c r="C38" s="308"/>
      <c r="D38" s="308">
        <v>1</v>
      </c>
      <c r="E38" s="308"/>
      <c r="F38" s="308"/>
      <c r="G38" s="161">
        <f t="shared" si="0"/>
        <v>1</v>
      </c>
      <c r="H38" s="362"/>
    </row>
    <row r="39" spans="1:8" x14ac:dyDescent="0.25">
      <c r="A39" s="356" t="s">
        <v>77</v>
      </c>
      <c r="B39" s="357"/>
      <c r="C39" s="308"/>
      <c r="D39" s="308">
        <v>0</v>
      </c>
      <c r="E39" s="308"/>
      <c r="F39" s="308"/>
      <c r="G39" s="161">
        <f t="shared" si="0"/>
        <v>0</v>
      </c>
      <c r="H39" s="362"/>
    </row>
    <row r="40" spans="1:8" x14ac:dyDescent="0.25">
      <c r="A40" s="958" t="s">
        <v>301</v>
      </c>
      <c r="B40" s="959"/>
      <c r="C40" s="308"/>
      <c r="D40" s="308">
        <v>0</v>
      </c>
      <c r="E40" s="308"/>
      <c r="F40" s="308"/>
      <c r="G40" s="161">
        <f t="shared" si="0"/>
        <v>0</v>
      </c>
      <c r="H40" s="358"/>
    </row>
    <row r="41" spans="1:8" ht="14.25" thickBot="1" x14ac:dyDescent="0.3">
      <c r="A41" s="960" t="s">
        <v>67</v>
      </c>
      <c r="B41" s="961"/>
      <c r="C41" s="308"/>
      <c r="D41" s="308">
        <v>0</v>
      </c>
      <c r="E41" s="308"/>
      <c r="F41" s="308"/>
      <c r="G41" s="161">
        <f t="shared" si="0"/>
        <v>0</v>
      </c>
      <c r="H41" s="358"/>
    </row>
    <row r="42" spans="1:8" ht="20.100000000000001" customHeight="1" thickBot="1" x14ac:dyDescent="0.3">
      <c r="A42" s="359" t="s">
        <v>19</v>
      </c>
      <c r="B42" s="360"/>
      <c r="C42" s="184" t="s">
        <v>53</v>
      </c>
      <c r="D42" s="184">
        <f>SUM(D37:D41)</f>
        <v>1</v>
      </c>
      <c r="E42" s="184">
        <f>SUM(E37:E39)</f>
        <v>0</v>
      </c>
      <c r="F42" s="184"/>
      <c r="G42" s="184">
        <f t="shared" si="0"/>
        <v>1</v>
      </c>
      <c r="H42" s="361" t="s">
        <v>15</v>
      </c>
    </row>
    <row r="43" spans="1:8" ht="14.25" thickBot="1" x14ac:dyDescent="0.3">
      <c r="A43" s="359" t="s">
        <v>19</v>
      </c>
      <c r="B43" s="360"/>
      <c r="C43" s="184">
        <f>SUM(C22,C26,C30,C34,C38,C42)</f>
        <v>0</v>
      </c>
      <c r="D43" s="184">
        <f>SUM(D42,D36,D30,D24,D18,D12)</f>
        <v>19</v>
      </c>
      <c r="E43" s="184">
        <f>SUM(E22,E26,E30,E34,E38,E42)</f>
        <v>0</v>
      </c>
      <c r="F43" s="184">
        <f>SUM(F22,F26,F30,F34,F38,F42)</f>
        <v>0</v>
      </c>
      <c r="G43" s="184">
        <f>SUM(G12+G18+G24+G30+G36+G42)</f>
        <v>19</v>
      </c>
      <c r="H43" s="361" t="s">
        <v>302</v>
      </c>
    </row>
    <row r="45" spans="1:8" x14ac:dyDescent="0.25">
      <c r="A45" s="3" t="s">
        <v>319</v>
      </c>
    </row>
    <row r="46" spans="1:8" ht="20.100000000000001" customHeight="1" x14ac:dyDescent="0.25"/>
    <row r="50" spans="1:8" ht="20.100000000000001" customHeight="1" x14ac:dyDescent="0.25"/>
    <row r="54" spans="1:8" ht="20.100000000000001" customHeight="1" x14ac:dyDescent="0.25"/>
    <row r="58" spans="1:8" ht="20.100000000000001" customHeight="1" x14ac:dyDescent="0.25"/>
    <row r="59" spans="1:8" x14ac:dyDescent="0.25">
      <c r="G59" s="123"/>
      <c r="H59" s="363"/>
    </row>
    <row r="60" spans="1:8" x14ac:dyDescent="0.25">
      <c r="A60" s="261"/>
      <c r="G60" s="123"/>
      <c r="H60" s="363"/>
    </row>
    <row r="61" spans="1:8" x14ac:dyDescent="0.25">
      <c r="G61" s="123"/>
      <c r="H61" s="363"/>
    </row>
    <row r="62" spans="1:8" x14ac:dyDescent="0.25">
      <c r="G62" s="123"/>
      <c r="H62" s="363"/>
    </row>
    <row r="63" spans="1:8" x14ac:dyDescent="0.25">
      <c r="G63" s="123"/>
      <c r="H63" s="363"/>
    </row>
    <row r="64" spans="1:8" x14ac:dyDescent="0.25">
      <c r="G64" s="123"/>
      <c r="H64" s="123"/>
    </row>
    <row r="65" spans="7:8" x14ac:dyDescent="0.25">
      <c r="G65" s="123"/>
      <c r="H65" s="123"/>
    </row>
    <row r="66" spans="7:8" x14ac:dyDescent="0.25">
      <c r="G66" s="123"/>
      <c r="H66" s="123"/>
    </row>
    <row r="67" spans="7:8" x14ac:dyDescent="0.25">
      <c r="G67" s="123"/>
      <c r="H67" s="123"/>
    </row>
    <row r="68" spans="7:8" x14ac:dyDescent="0.25">
      <c r="G68" s="123"/>
      <c r="H68" s="123"/>
    </row>
    <row r="69" spans="7:8" x14ac:dyDescent="0.25">
      <c r="G69" s="123"/>
      <c r="H69" s="123"/>
    </row>
    <row r="70" spans="7:8" x14ac:dyDescent="0.25">
      <c r="H70" s="123"/>
    </row>
    <row r="71" spans="7:8" x14ac:dyDescent="0.25">
      <c r="H71" s="123"/>
    </row>
    <row r="72" spans="7:8" x14ac:dyDescent="0.25">
      <c r="H72" s="123"/>
    </row>
    <row r="73" spans="7:8" x14ac:dyDescent="0.25">
      <c r="H73" s="123"/>
    </row>
    <row r="74" spans="7:8" x14ac:dyDescent="0.25">
      <c r="H74" s="123"/>
    </row>
    <row r="75" spans="7:8" x14ac:dyDescent="0.25">
      <c r="H75" s="123"/>
    </row>
    <row r="76" spans="7:8" x14ac:dyDescent="0.25">
      <c r="H76" s="123"/>
    </row>
    <row r="77" spans="7:8" x14ac:dyDescent="0.25">
      <c r="G77" s="123"/>
    </row>
    <row r="78" spans="7:8" x14ac:dyDescent="0.25">
      <c r="G78" s="123"/>
    </row>
    <row r="79" spans="7:8" x14ac:dyDescent="0.25">
      <c r="G79" s="123"/>
    </row>
    <row r="80" spans="7:8" x14ac:dyDescent="0.25">
      <c r="G80" s="123"/>
    </row>
    <row r="81" spans="7:7" x14ac:dyDescent="0.25">
      <c r="G81" s="123"/>
    </row>
    <row r="82" spans="7:7" x14ac:dyDescent="0.25">
      <c r="G82" s="123"/>
    </row>
    <row r="83" spans="7:7" x14ac:dyDescent="0.25">
      <c r="G83" s="123"/>
    </row>
    <row r="84" spans="7:7" x14ac:dyDescent="0.25">
      <c r="G84" s="123"/>
    </row>
    <row r="85" spans="7:7" x14ac:dyDescent="0.25">
      <c r="G85" s="123"/>
    </row>
    <row r="86" spans="7:7" x14ac:dyDescent="0.25">
      <c r="G86" s="123"/>
    </row>
    <row r="87" spans="7:7" x14ac:dyDescent="0.25">
      <c r="G87" s="123"/>
    </row>
    <row r="88" spans="7:7" x14ac:dyDescent="0.25">
      <c r="G88" s="123"/>
    </row>
    <row r="89" spans="7:7" x14ac:dyDescent="0.25">
      <c r="G89" s="123"/>
    </row>
    <row r="90" spans="7:7" x14ac:dyDescent="0.25">
      <c r="G90" s="123"/>
    </row>
    <row r="91" spans="7:7" x14ac:dyDescent="0.25">
      <c r="G91" s="123"/>
    </row>
    <row r="92" spans="7:7" x14ac:dyDescent="0.25">
      <c r="G92" s="123"/>
    </row>
    <row r="93" spans="7:7" x14ac:dyDescent="0.25">
      <c r="G93" s="123"/>
    </row>
    <row r="94" spans="7:7" x14ac:dyDescent="0.25">
      <c r="G94" s="123"/>
    </row>
    <row r="95" spans="7:7" x14ac:dyDescent="0.25">
      <c r="G95" s="123"/>
    </row>
    <row r="96" spans="7:7" x14ac:dyDescent="0.25">
      <c r="G96" s="123"/>
    </row>
    <row r="97" spans="7:7" x14ac:dyDescent="0.25">
      <c r="G97" s="123"/>
    </row>
    <row r="98" spans="7:7" x14ac:dyDescent="0.25">
      <c r="G98" s="123"/>
    </row>
    <row r="99" spans="7:7" x14ac:dyDescent="0.25">
      <c r="G99" s="123"/>
    </row>
    <row r="100" spans="7:7" x14ac:dyDescent="0.25">
      <c r="G100" s="123"/>
    </row>
    <row r="101" spans="7:7" x14ac:dyDescent="0.25">
      <c r="G101" s="123"/>
    </row>
    <row r="102" spans="7:7" x14ac:dyDescent="0.25">
      <c r="G102" s="123"/>
    </row>
    <row r="103" spans="7:7" x14ac:dyDescent="0.25">
      <c r="G103" s="123"/>
    </row>
    <row r="104" spans="7:7" x14ac:dyDescent="0.25">
      <c r="G104" s="123"/>
    </row>
    <row r="105" spans="7:7" x14ac:dyDescent="0.25">
      <c r="G105" s="123"/>
    </row>
    <row r="106" spans="7:7" x14ac:dyDescent="0.25">
      <c r="G106" s="123"/>
    </row>
    <row r="107" spans="7:7" x14ac:dyDescent="0.25">
      <c r="G107" s="123"/>
    </row>
    <row r="108" spans="7:7" x14ac:dyDescent="0.25">
      <c r="G108" s="123"/>
    </row>
    <row r="109" spans="7:7" x14ac:dyDescent="0.25">
      <c r="G109" s="123"/>
    </row>
    <row r="110" spans="7:7" x14ac:dyDescent="0.25">
      <c r="G110" s="123"/>
    </row>
    <row r="111" spans="7:7" x14ac:dyDescent="0.25">
      <c r="G111" s="123"/>
    </row>
    <row r="112" spans="7:7" x14ac:dyDescent="0.25">
      <c r="G112" s="123"/>
    </row>
  </sheetData>
  <customSheetViews>
    <customSheetView guid="{0224233B-564D-4BBC-A6B2-E639E6D2CFB3}" showPageBreaks="1" hiddenColumns="1" showRuler="0" topLeftCell="A13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portrait" horizontalDpi="300" verticalDpi="300" r:id="rId1"/>
      <headerFooter alignWithMargins="0">
        <oddHeader xml:space="preserve">&amp;LFachbereich 9&amp;C&amp;A&amp;ROktober  2009  </oddHeader>
        <oddFooter>Seite &amp;P&amp;R&amp;Z&amp;F</oddFooter>
      </headerFooter>
    </customSheetView>
  </customSheetViews>
  <mergeCells count="15">
    <mergeCell ref="A16:B16"/>
    <mergeCell ref="A17:B17"/>
    <mergeCell ref="A40:B40"/>
    <mergeCell ref="A41:B41"/>
    <mergeCell ref="A22:B22"/>
    <mergeCell ref="A23:B23"/>
    <mergeCell ref="A28:B28"/>
    <mergeCell ref="A29:B29"/>
    <mergeCell ref="A34:B34"/>
    <mergeCell ref="A35:B35"/>
    <mergeCell ref="A5:B5"/>
    <mergeCell ref="C5:G5"/>
    <mergeCell ref="A9:B9"/>
    <mergeCell ref="A10:B10"/>
    <mergeCell ref="A11:B11"/>
  </mergeCells>
  <phoneticPr fontId="2" type="noConversion"/>
  <hyperlinks>
    <hyperlink ref="K1" location="Übersicht!A1" display="zurück zur Übersicht!"/>
  </hyperlinks>
  <printOptions horizontalCentered="1" verticalCentered="1"/>
  <pageMargins left="0.39370078740157483" right="0.39370078740157483" top="0.98425196850393704" bottom="0.39370078740157483" header="0.78740157480314965" footer="0"/>
  <pageSetup paperSize="9" scale="68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view="pageLayout" zoomScaleNormal="100" zoomScaleSheetLayoutView="100" workbookViewId="0">
      <selection activeCell="C42" sqref="C42"/>
    </sheetView>
  </sheetViews>
  <sheetFormatPr baseColWidth="10" defaultRowHeight="13.5" x14ac:dyDescent="0.25"/>
  <cols>
    <col min="1" max="1" width="8.28515625" style="3" customWidth="1"/>
    <col min="2" max="2" width="10" style="3" customWidth="1"/>
    <col min="3" max="3" width="8.85546875" style="3" customWidth="1"/>
    <col min="4" max="6" width="8.85546875" style="3" hidden="1" customWidth="1"/>
    <col min="7" max="7" width="11.42578125" style="3"/>
    <col min="8" max="8" width="14.140625" style="3" customWidth="1"/>
    <col min="9" max="16384" width="11.42578125" style="3"/>
  </cols>
  <sheetData>
    <row r="1" spans="1:11" ht="15.75" x14ac:dyDescent="0.25">
      <c r="A1" s="312" t="s">
        <v>69</v>
      </c>
      <c r="B1" s="312"/>
      <c r="C1" s="312"/>
      <c r="D1" s="312"/>
      <c r="E1" s="312"/>
      <c r="F1" s="312"/>
      <c r="G1" s="312"/>
      <c r="H1" s="2"/>
      <c r="K1" s="261" t="s">
        <v>204</v>
      </c>
    </row>
    <row r="2" spans="1:11" ht="15.75" x14ac:dyDescent="0.25">
      <c r="A2" s="312" t="s">
        <v>78</v>
      </c>
      <c r="B2" s="312"/>
      <c r="C2" s="312"/>
      <c r="D2" s="312"/>
      <c r="E2" s="312"/>
      <c r="F2" s="312"/>
      <c r="G2" s="312"/>
      <c r="H2" s="2"/>
    </row>
    <row r="3" spans="1:11" ht="15.75" x14ac:dyDescent="0.25">
      <c r="A3" s="312" t="s">
        <v>79</v>
      </c>
      <c r="B3" s="312"/>
      <c r="C3" s="312"/>
      <c r="D3" s="312"/>
      <c r="E3" s="312"/>
      <c r="F3" s="312"/>
      <c r="G3" s="312"/>
      <c r="H3" s="2"/>
    </row>
    <row r="4" spans="1:11" ht="14.25" thickBot="1" x14ac:dyDescent="0.3"/>
    <row r="5" spans="1:11" ht="15.75" x14ac:dyDescent="0.25">
      <c r="A5" s="346" t="s">
        <v>19</v>
      </c>
      <c r="B5" s="347"/>
      <c r="C5" s="348" t="s">
        <v>72</v>
      </c>
      <c r="D5" s="348"/>
      <c r="E5" s="348"/>
      <c r="F5" s="348"/>
      <c r="G5" s="348"/>
      <c r="H5" s="364" t="s">
        <v>331</v>
      </c>
    </row>
    <row r="6" spans="1:11" ht="77.25" customHeight="1" thickBot="1" x14ac:dyDescent="0.3">
      <c r="A6" s="350" t="s">
        <v>73</v>
      </c>
      <c r="B6" s="351"/>
      <c r="C6" s="352" t="s">
        <v>321</v>
      </c>
      <c r="D6" s="352" t="s">
        <v>80</v>
      </c>
      <c r="E6" s="352"/>
      <c r="F6" s="353"/>
      <c r="G6" s="354" t="s">
        <v>81</v>
      </c>
      <c r="H6" s="355" t="s">
        <v>74</v>
      </c>
    </row>
    <row r="7" spans="1:11" x14ac:dyDescent="0.25">
      <c r="A7" s="356" t="s">
        <v>82</v>
      </c>
      <c r="B7" s="357"/>
      <c r="C7" s="308">
        <v>0</v>
      </c>
      <c r="D7" s="660"/>
      <c r="E7" s="308"/>
      <c r="F7" s="308"/>
      <c r="G7" s="161">
        <f t="shared" ref="G7:G43" si="0">SUM(C7:F7)</f>
        <v>0</v>
      </c>
      <c r="H7" s="358"/>
    </row>
    <row r="8" spans="1:11" x14ac:dyDescent="0.25">
      <c r="A8" s="356" t="s">
        <v>76</v>
      </c>
      <c r="B8" s="357"/>
      <c r="C8" s="308">
        <v>0</v>
      </c>
      <c r="D8" s="660"/>
      <c r="E8" s="308"/>
      <c r="F8" s="308"/>
      <c r="G8" s="161">
        <f t="shared" si="0"/>
        <v>0</v>
      </c>
      <c r="H8" s="358"/>
    </row>
    <row r="9" spans="1:11" x14ac:dyDescent="0.25">
      <c r="A9" s="958" t="s">
        <v>77</v>
      </c>
      <c r="B9" s="959"/>
      <c r="C9" s="308">
        <v>0</v>
      </c>
      <c r="D9" s="660"/>
      <c r="E9" s="308"/>
      <c r="F9" s="308"/>
      <c r="G9" s="161">
        <f t="shared" si="0"/>
        <v>0</v>
      </c>
      <c r="H9" s="358"/>
    </row>
    <row r="10" spans="1:11" x14ac:dyDescent="0.25">
      <c r="A10" s="958" t="s">
        <v>301</v>
      </c>
      <c r="B10" s="959"/>
      <c r="C10" s="308">
        <v>0</v>
      </c>
      <c r="D10" s="660"/>
      <c r="E10" s="308"/>
      <c r="F10" s="308"/>
      <c r="G10" s="161">
        <f t="shared" si="0"/>
        <v>0</v>
      </c>
      <c r="H10" s="358"/>
    </row>
    <row r="11" spans="1:11" ht="14.25" thickBot="1" x14ac:dyDescent="0.3">
      <c r="A11" s="960" t="s">
        <v>67</v>
      </c>
      <c r="B11" s="961"/>
      <c r="C11" s="308">
        <v>0</v>
      </c>
      <c r="D11" s="660"/>
      <c r="E11" s="308"/>
      <c r="F11" s="308"/>
      <c r="G11" s="161">
        <f t="shared" si="0"/>
        <v>0</v>
      </c>
      <c r="H11" s="358"/>
    </row>
    <row r="12" spans="1:11" ht="20.100000000000001" customHeight="1" thickBot="1" x14ac:dyDescent="0.3">
      <c r="A12" s="359" t="s">
        <v>19</v>
      </c>
      <c r="B12" s="360"/>
      <c r="C12" s="184">
        <f>SUM(C7:C11)</f>
        <v>0</v>
      </c>
      <c r="D12" s="850"/>
      <c r="E12" s="184"/>
      <c r="F12" s="184"/>
      <c r="G12" s="184">
        <f t="shared" si="0"/>
        <v>0</v>
      </c>
      <c r="H12" s="361" t="s">
        <v>10</v>
      </c>
    </row>
    <row r="13" spans="1:11" x14ac:dyDescent="0.25">
      <c r="A13" s="356" t="s">
        <v>82</v>
      </c>
      <c r="B13" s="357"/>
      <c r="C13" s="308">
        <v>1</v>
      </c>
      <c r="D13" s="660"/>
      <c r="E13" s="308"/>
      <c r="F13" s="308"/>
      <c r="G13" s="161">
        <f t="shared" si="0"/>
        <v>1</v>
      </c>
      <c r="H13" s="362"/>
    </row>
    <row r="14" spans="1:11" x14ac:dyDescent="0.25">
      <c r="A14" s="356" t="s">
        <v>76</v>
      </c>
      <c r="B14" s="357"/>
      <c r="C14" s="308">
        <v>3</v>
      </c>
      <c r="D14" s="660"/>
      <c r="E14" s="308"/>
      <c r="F14" s="308"/>
      <c r="G14" s="161">
        <f t="shared" si="0"/>
        <v>3</v>
      </c>
      <c r="H14" s="362"/>
    </row>
    <row r="15" spans="1:11" x14ac:dyDescent="0.25">
      <c r="A15" s="356" t="s">
        <v>77</v>
      </c>
      <c r="B15" s="357"/>
      <c r="C15" s="308">
        <v>0</v>
      </c>
      <c r="D15" s="660"/>
      <c r="E15" s="308"/>
      <c r="F15" s="308"/>
      <c r="G15" s="161">
        <f t="shared" si="0"/>
        <v>0</v>
      </c>
      <c r="H15" s="362"/>
    </row>
    <row r="16" spans="1:11" x14ac:dyDescent="0.25">
      <c r="A16" s="958" t="s">
        <v>301</v>
      </c>
      <c r="B16" s="959"/>
      <c r="C16" s="308">
        <v>0</v>
      </c>
      <c r="D16" s="660"/>
      <c r="E16" s="308"/>
      <c r="F16" s="308"/>
      <c r="G16" s="161">
        <f t="shared" si="0"/>
        <v>0</v>
      </c>
      <c r="H16" s="358"/>
    </row>
    <row r="17" spans="1:8" ht="14.25" thickBot="1" x14ac:dyDescent="0.3">
      <c r="A17" s="960" t="s">
        <v>67</v>
      </c>
      <c r="B17" s="961"/>
      <c r="C17" s="308">
        <v>0</v>
      </c>
      <c r="D17" s="660"/>
      <c r="E17" s="308"/>
      <c r="F17" s="308"/>
      <c r="G17" s="161">
        <f t="shared" si="0"/>
        <v>0</v>
      </c>
      <c r="H17" s="358"/>
    </row>
    <row r="18" spans="1:8" ht="20.100000000000001" customHeight="1" thickBot="1" x14ac:dyDescent="0.3">
      <c r="A18" s="359" t="s">
        <v>19</v>
      </c>
      <c r="B18" s="360"/>
      <c r="C18" s="184">
        <f>SUM(C13:C17)</f>
        <v>4</v>
      </c>
      <c r="D18" s="850"/>
      <c r="E18" s="184"/>
      <c r="F18" s="184"/>
      <c r="G18" s="184">
        <f t="shared" si="0"/>
        <v>4</v>
      </c>
      <c r="H18" s="361" t="s">
        <v>11</v>
      </c>
    </row>
    <row r="19" spans="1:8" x14ac:dyDescent="0.25">
      <c r="A19" s="602" t="s">
        <v>82</v>
      </c>
      <c r="B19" s="603"/>
      <c r="C19" s="308">
        <v>0</v>
      </c>
      <c r="D19" s="660"/>
      <c r="E19" s="308"/>
      <c r="F19" s="308"/>
      <c r="G19" s="161">
        <f t="shared" si="0"/>
        <v>0</v>
      </c>
      <c r="H19" s="358"/>
    </row>
    <row r="20" spans="1:8" x14ac:dyDescent="0.25">
      <c r="A20" s="356" t="s">
        <v>76</v>
      </c>
      <c r="B20" s="357"/>
      <c r="C20" s="308">
        <v>9</v>
      </c>
      <c r="D20" s="660"/>
      <c r="E20" s="308"/>
      <c r="F20" s="308"/>
      <c r="G20" s="161">
        <f t="shared" si="0"/>
        <v>9</v>
      </c>
      <c r="H20" s="358"/>
    </row>
    <row r="21" spans="1:8" x14ac:dyDescent="0.25">
      <c r="A21" s="958" t="s">
        <v>77</v>
      </c>
      <c r="B21" s="959"/>
      <c r="C21" s="308">
        <v>0</v>
      </c>
      <c r="D21" s="660"/>
      <c r="E21" s="308"/>
      <c r="F21" s="308"/>
      <c r="G21" s="161">
        <f t="shared" si="0"/>
        <v>0</v>
      </c>
      <c r="H21" s="358"/>
    </row>
    <row r="22" spans="1:8" x14ac:dyDescent="0.25">
      <c r="A22" s="958" t="s">
        <v>301</v>
      </c>
      <c r="B22" s="959"/>
      <c r="C22" s="308">
        <v>0</v>
      </c>
      <c r="D22" s="660"/>
      <c r="E22" s="308"/>
      <c r="F22" s="308"/>
      <c r="G22" s="161">
        <f t="shared" si="0"/>
        <v>0</v>
      </c>
      <c r="H22" s="358"/>
    </row>
    <row r="23" spans="1:8" ht="14.25" thickBot="1" x14ac:dyDescent="0.3">
      <c r="A23" s="960" t="s">
        <v>67</v>
      </c>
      <c r="B23" s="961"/>
      <c r="C23" s="308">
        <v>0</v>
      </c>
      <c r="D23" s="660"/>
      <c r="E23" s="308"/>
      <c r="F23" s="308"/>
      <c r="G23" s="161">
        <f t="shared" si="0"/>
        <v>0</v>
      </c>
      <c r="H23" s="358"/>
    </row>
    <row r="24" spans="1:8" ht="20.100000000000001" customHeight="1" thickBot="1" x14ac:dyDescent="0.3">
      <c r="A24" s="359" t="s">
        <v>19</v>
      </c>
      <c r="B24" s="360"/>
      <c r="C24" s="184">
        <f>SUM(C19:C23)</f>
        <v>9</v>
      </c>
      <c r="D24" s="850"/>
      <c r="E24" s="184"/>
      <c r="F24" s="184"/>
      <c r="G24" s="184">
        <f t="shared" si="0"/>
        <v>9</v>
      </c>
      <c r="H24" s="361" t="s">
        <v>12</v>
      </c>
    </row>
    <row r="25" spans="1:8" x14ac:dyDescent="0.25">
      <c r="A25" s="602" t="s">
        <v>82</v>
      </c>
      <c r="B25" s="603"/>
      <c r="C25" s="308">
        <v>1</v>
      </c>
      <c r="D25" s="660"/>
      <c r="E25" s="308"/>
      <c r="F25" s="308"/>
      <c r="G25" s="161">
        <f t="shared" si="0"/>
        <v>1</v>
      </c>
      <c r="H25" s="358"/>
    </row>
    <row r="26" spans="1:8" x14ac:dyDescent="0.25">
      <c r="A26" s="356" t="s">
        <v>76</v>
      </c>
      <c r="B26" s="357"/>
      <c r="C26" s="308">
        <v>6</v>
      </c>
      <c r="D26" s="660"/>
      <c r="E26" s="308"/>
      <c r="F26" s="308"/>
      <c r="G26" s="161">
        <f t="shared" si="0"/>
        <v>6</v>
      </c>
      <c r="H26" s="358"/>
    </row>
    <row r="27" spans="1:8" x14ac:dyDescent="0.25">
      <c r="A27" s="958" t="s">
        <v>77</v>
      </c>
      <c r="B27" s="959"/>
      <c r="C27" s="308">
        <v>0</v>
      </c>
      <c r="D27" s="660"/>
      <c r="E27" s="308"/>
      <c r="F27" s="308"/>
      <c r="G27" s="161">
        <f t="shared" si="0"/>
        <v>0</v>
      </c>
      <c r="H27" s="358"/>
    </row>
    <row r="28" spans="1:8" x14ac:dyDescent="0.25">
      <c r="A28" s="958" t="s">
        <v>301</v>
      </c>
      <c r="B28" s="959"/>
      <c r="C28" s="308">
        <v>0</v>
      </c>
      <c r="D28" s="660"/>
      <c r="E28" s="308"/>
      <c r="F28" s="308"/>
      <c r="G28" s="161">
        <f t="shared" si="0"/>
        <v>0</v>
      </c>
      <c r="H28" s="358"/>
    </row>
    <row r="29" spans="1:8" ht="14.25" thickBot="1" x14ac:dyDescent="0.3">
      <c r="A29" s="960" t="s">
        <v>67</v>
      </c>
      <c r="B29" s="961"/>
      <c r="C29" s="308">
        <v>0</v>
      </c>
      <c r="D29" s="660"/>
      <c r="E29" s="308"/>
      <c r="F29" s="308"/>
      <c r="G29" s="161">
        <f t="shared" si="0"/>
        <v>0</v>
      </c>
      <c r="H29" s="358"/>
    </row>
    <row r="30" spans="1:8" ht="20.100000000000001" customHeight="1" thickBot="1" x14ac:dyDescent="0.3">
      <c r="A30" s="359" t="s">
        <v>19</v>
      </c>
      <c r="B30" s="360"/>
      <c r="C30" s="184">
        <f>SUM(C25:C29)</f>
        <v>7</v>
      </c>
      <c r="D30" s="850"/>
      <c r="E30" s="184"/>
      <c r="F30" s="184"/>
      <c r="G30" s="184">
        <f t="shared" si="0"/>
        <v>7</v>
      </c>
      <c r="H30" s="361" t="s">
        <v>13</v>
      </c>
    </row>
    <row r="31" spans="1:8" x14ac:dyDescent="0.25">
      <c r="A31" s="602" t="s">
        <v>82</v>
      </c>
      <c r="B31" s="603"/>
      <c r="C31" s="308">
        <v>0</v>
      </c>
      <c r="D31" s="660"/>
      <c r="E31" s="308"/>
      <c r="F31" s="308"/>
      <c r="G31" s="161">
        <f t="shared" si="0"/>
        <v>0</v>
      </c>
      <c r="H31" s="358"/>
    </row>
    <row r="32" spans="1:8" x14ac:dyDescent="0.25">
      <c r="A32" s="356" t="s">
        <v>76</v>
      </c>
      <c r="B32" s="357"/>
      <c r="C32" s="308">
        <v>0</v>
      </c>
      <c r="D32" s="660"/>
      <c r="E32" s="308"/>
      <c r="F32" s="308"/>
      <c r="G32" s="161">
        <f t="shared" si="0"/>
        <v>0</v>
      </c>
      <c r="H32" s="358"/>
    </row>
    <row r="33" spans="1:8" x14ac:dyDescent="0.25">
      <c r="A33" s="958" t="s">
        <v>77</v>
      </c>
      <c r="B33" s="959"/>
      <c r="C33" s="308">
        <v>1</v>
      </c>
      <c r="D33" s="660"/>
      <c r="E33" s="308"/>
      <c r="F33" s="308"/>
      <c r="G33" s="161">
        <f t="shared" si="0"/>
        <v>1</v>
      </c>
      <c r="H33" s="358"/>
    </row>
    <row r="34" spans="1:8" x14ac:dyDescent="0.25">
      <c r="A34" s="958" t="s">
        <v>301</v>
      </c>
      <c r="B34" s="959"/>
      <c r="C34" s="308">
        <v>0</v>
      </c>
      <c r="D34" s="660"/>
      <c r="E34" s="308"/>
      <c r="F34" s="308"/>
      <c r="G34" s="161">
        <f t="shared" si="0"/>
        <v>0</v>
      </c>
      <c r="H34" s="358"/>
    </row>
    <row r="35" spans="1:8" ht="14.25" thickBot="1" x14ac:dyDescent="0.3">
      <c r="A35" s="960" t="s">
        <v>67</v>
      </c>
      <c r="B35" s="961"/>
      <c r="C35" s="308">
        <v>0</v>
      </c>
      <c r="D35" s="660"/>
      <c r="E35" s="308"/>
      <c r="F35" s="308"/>
      <c r="G35" s="161">
        <f t="shared" si="0"/>
        <v>0</v>
      </c>
      <c r="H35" s="358"/>
    </row>
    <row r="36" spans="1:8" ht="20.100000000000001" customHeight="1" thickBot="1" x14ac:dyDescent="0.3">
      <c r="A36" s="359" t="s">
        <v>19</v>
      </c>
      <c r="B36" s="360"/>
      <c r="C36" s="184">
        <f>SUM(C31:C35)</f>
        <v>1</v>
      </c>
      <c r="D36" s="850"/>
      <c r="E36" s="184"/>
      <c r="F36" s="184"/>
      <c r="G36" s="184">
        <f t="shared" si="0"/>
        <v>1</v>
      </c>
      <c r="H36" s="361" t="s">
        <v>14</v>
      </c>
    </row>
    <row r="37" spans="1:8" x14ac:dyDescent="0.25">
      <c r="A37" s="602" t="s">
        <v>82</v>
      </c>
      <c r="B37" s="603"/>
      <c r="C37" s="308">
        <v>0</v>
      </c>
      <c r="D37" s="660"/>
      <c r="E37" s="308"/>
      <c r="F37" s="308"/>
      <c r="G37" s="161">
        <f t="shared" si="0"/>
        <v>0</v>
      </c>
      <c r="H37" s="358"/>
    </row>
    <row r="38" spans="1:8" x14ac:dyDescent="0.25">
      <c r="A38" s="356" t="s">
        <v>76</v>
      </c>
      <c r="B38" s="357"/>
      <c r="C38" s="308">
        <v>0</v>
      </c>
      <c r="D38" s="660"/>
      <c r="E38" s="308"/>
      <c r="F38" s="308"/>
      <c r="G38" s="161">
        <f t="shared" si="0"/>
        <v>0</v>
      </c>
      <c r="H38" s="358"/>
    </row>
    <row r="39" spans="1:8" x14ac:dyDescent="0.25">
      <c r="A39" s="958" t="s">
        <v>77</v>
      </c>
      <c r="B39" s="959"/>
      <c r="C39" s="308">
        <v>0</v>
      </c>
      <c r="D39" s="660"/>
      <c r="E39" s="308"/>
      <c r="F39" s="308"/>
      <c r="G39" s="161">
        <f t="shared" si="0"/>
        <v>0</v>
      </c>
      <c r="H39" s="358"/>
    </row>
    <row r="40" spans="1:8" x14ac:dyDescent="0.25">
      <c r="A40" s="958" t="s">
        <v>301</v>
      </c>
      <c r="B40" s="959"/>
      <c r="C40" s="308">
        <v>0</v>
      </c>
      <c r="D40" s="660"/>
      <c r="E40" s="308"/>
      <c r="F40" s="308"/>
      <c r="G40" s="161">
        <f t="shared" si="0"/>
        <v>0</v>
      </c>
      <c r="H40" s="358"/>
    </row>
    <row r="41" spans="1:8" ht="14.25" thickBot="1" x14ac:dyDescent="0.3">
      <c r="A41" s="960" t="s">
        <v>67</v>
      </c>
      <c r="B41" s="961"/>
      <c r="C41" s="308">
        <v>0</v>
      </c>
      <c r="D41" s="660"/>
      <c r="E41" s="308"/>
      <c r="F41" s="308"/>
      <c r="G41" s="161">
        <f t="shared" si="0"/>
        <v>0</v>
      </c>
      <c r="H41" s="358"/>
    </row>
    <row r="42" spans="1:8" ht="20.100000000000001" customHeight="1" thickBot="1" x14ac:dyDescent="0.3">
      <c r="A42" s="359" t="s">
        <v>19</v>
      </c>
      <c r="B42" s="360"/>
      <c r="C42" s="184">
        <f>SUM(C37:C41)</f>
        <v>0</v>
      </c>
      <c r="D42" s="850"/>
      <c r="E42" s="184"/>
      <c r="F42" s="184"/>
      <c r="G42" s="184">
        <f t="shared" si="0"/>
        <v>0</v>
      </c>
      <c r="H42" s="361" t="s">
        <v>15</v>
      </c>
    </row>
    <row r="43" spans="1:8" ht="14.25" thickBot="1" x14ac:dyDescent="0.3">
      <c r="A43" s="359" t="s">
        <v>19</v>
      </c>
      <c r="B43" s="360"/>
      <c r="C43" s="184">
        <f>SUM(C42,C36,C30,C24,C18,C12)</f>
        <v>21</v>
      </c>
      <c r="D43" s="850"/>
      <c r="E43" s="184"/>
      <c r="F43" s="184">
        <f>SUM(F22,F26,F30,F34,F38,F42)</f>
        <v>0</v>
      </c>
      <c r="G43" s="184">
        <f t="shared" si="0"/>
        <v>21</v>
      </c>
      <c r="H43" s="361" t="s">
        <v>302</v>
      </c>
    </row>
    <row r="44" spans="1:8" x14ac:dyDescent="0.25">
      <c r="H44" s="123"/>
    </row>
    <row r="45" spans="1:8" x14ac:dyDescent="0.25">
      <c r="A45" s="3" t="s">
        <v>319</v>
      </c>
      <c r="H45" s="123"/>
    </row>
    <row r="46" spans="1:8" x14ac:dyDescent="0.25">
      <c r="H46" s="123"/>
    </row>
    <row r="47" spans="1:8" x14ac:dyDescent="0.25">
      <c r="H47" s="123"/>
    </row>
    <row r="48" spans="1:8" x14ac:dyDescent="0.25">
      <c r="G48" s="123"/>
    </row>
    <row r="49" spans="7:7" x14ac:dyDescent="0.25">
      <c r="G49" s="123"/>
    </row>
    <row r="50" spans="7:7" x14ac:dyDescent="0.25">
      <c r="G50" s="123"/>
    </row>
    <row r="51" spans="7:7" x14ac:dyDescent="0.25">
      <c r="G51" s="123"/>
    </row>
    <row r="52" spans="7:7" x14ac:dyDescent="0.25">
      <c r="G52" s="123"/>
    </row>
    <row r="53" spans="7:7" x14ac:dyDescent="0.25">
      <c r="G53" s="123"/>
    </row>
    <row r="54" spans="7:7" x14ac:dyDescent="0.25">
      <c r="G54" s="123"/>
    </row>
    <row r="55" spans="7:7" x14ac:dyDescent="0.25">
      <c r="G55" s="123"/>
    </row>
    <row r="56" spans="7:7" x14ac:dyDescent="0.25">
      <c r="G56" s="123"/>
    </row>
    <row r="57" spans="7:7" x14ac:dyDescent="0.25">
      <c r="G57" s="123"/>
    </row>
    <row r="58" spans="7:7" x14ac:dyDescent="0.25">
      <c r="G58" s="123"/>
    </row>
    <row r="59" spans="7:7" x14ac:dyDescent="0.25">
      <c r="G59" s="123"/>
    </row>
    <row r="60" spans="7:7" x14ac:dyDescent="0.25">
      <c r="G60" s="123"/>
    </row>
    <row r="61" spans="7:7" x14ac:dyDescent="0.25">
      <c r="G61" s="123"/>
    </row>
    <row r="62" spans="7:7" x14ac:dyDescent="0.25">
      <c r="G62" s="123"/>
    </row>
    <row r="63" spans="7:7" x14ac:dyDescent="0.25">
      <c r="G63" s="123"/>
    </row>
    <row r="64" spans="7:7" x14ac:dyDescent="0.25">
      <c r="G64" s="123"/>
    </row>
    <row r="65" spans="7:7" x14ac:dyDescent="0.25">
      <c r="G65" s="123"/>
    </row>
    <row r="66" spans="7:7" x14ac:dyDescent="0.25">
      <c r="G66" s="123"/>
    </row>
    <row r="67" spans="7:7" x14ac:dyDescent="0.25">
      <c r="G67" s="123"/>
    </row>
    <row r="68" spans="7:7" x14ac:dyDescent="0.25">
      <c r="G68" s="123"/>
    </row>
    <row r="69" spans="7:7" x14ac:dyDescent="0.25">
      <c r="G69" s="123"/>
    </row>
    <row r="70" spans="7:7" x14ac:dyDescent="0.25">
      <c r="G70" s="123"/>
    </row>
    <row r="71" spans="7:7" x14ac:dyDescent="0.25">
      <c r="G71" s="123"/>
    </row>
    <row r="72" spans="7:7" x14ac:dyDescent="0.25">
      <c r="G72" s="123"/>
    </row>
    <row r="73" spans="7:7" x14ac:dyDescent="0.25">
      <c r="G73" s="123"/>
    </row>
    <row r="74" spans="7:7" x14ac:dyDescent="0.25">
      <c r="G74" s="123"/>
    </row>
    <row r="75" spans="7:7" x14ac:dyDescent="0.25">
      <c r="G75" s="123"/>
    </row>
    <row r="76" spans="7:7" x14ac:dyDescent="0.25">
      <c r="G76" s="123"/>
    </row>
    <row r="77" spans="7:7" x14ac:dyDescent="0.25">
      <c r="G77" s="123"/>
    </row>
    <row r="78" spans="7:7" x14ac:dyDescent="0.25">
      <c r="G78" s="123"/>
    </row>
    <row r="79" spans="7:7" x14ac:dyDescent="0.25">
      <c r="G79" s="123"/>
    </row>
    <row r="80" spans="7:7" x14ac:dyDescent="0.25">
      <c r="G80" s="123"/>
    </row>
    <row r="81" spans="7:7" x14ac:dyDescent="0.25">
      <c r="G81" s="123"/>
    </row>
    <row r="82" spans="7:7" x14ac:dyDescent="0.25">
      <c r="G82" s="123"/>
    </row>
    <row r="83" spans="7:7" x14ac:dyDescent="0.25">
      <c r="G83" s="123"/>
    </row>
    <row r="84" spans="7:7" x14ac:dyDescent="0.25">
      <c r="G84" s="123"/>
    </row>
    <row r="85" spans="7:7" x14ac:dyDescent="0.25">
      <c r="G85" s="123"/>
    </row>
  </sheetData>
  <customSheetViews>
    <customSheetView guid="{0224233B-564D-4BBC-A6B2-E639E6D2CFB3}" showPageBreaks="1" hiddenColumn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portrait" horizontalDpi="300" verticalDpi="300" r:id="rId1"/>
      <headerFooter alignWithMargins="0">
        <oddHeader>&amp;LFachbereich 9&amp;C&amp;A&amp;R            Oktober   2009</oddHeader>
        <oddFooter>Seite &amp;P&amp;R&amp;Z&amp;F</oddFooter>
      </headerFooter>
    </customSheetView>
  </customSheetViews>
  <mergeCells count="17">
    <mergeCell ref="A9:B9"/>
    <mergeCell ref="A10:B10"/>
    <mergeCell ref="A11:B11"/>
    <mergeCell ref="A16:B16"/>
    <mergeCell ref="A17:B17"/>
    <mergeCell ref="A41:B41"/>
    <mergeCell ref="A21:B21"/>
    <mergeCell ref="A27:B27"/>
    <mergeCell ref="A33:B33"/>
    <mergeCell ref="A39:B39"/>
    <mergeCell ref="A40:B40"/>
    <mergeCell ref="A22:B22"/>
    <mergeCell ref="A23:B23"/>
    <mergeCell ref="A28:B28"/>
    <mergeCell ref="A29:B29"/>
    <mergeCell ref="A34:B34"/>
    <mergeCell ref="A35:B35"/>
  </mergeCells>
  <phoneticPr fontId="2" type="noConversion"/>
  <hyperlinks>
    <hyperlink ref="K1" location="Übersicht!A1" display="zurück zur Übersicht!"/>
  </hyperlinks>
  <printOptions horizontalCentered="1" verticalCentered="1"/>
  <pageMargins left="0.39370078740157483" right="0.39370078740157483" top="0.98425196850393704" bottom="0.39370078740157483" header="0.78740157480314965" footer="0"/>
  <pageSetup paperSize="9" scale="69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  <cellWatches>
    <cellWatch r="D24"/>
    <cellWatch r="I33"/>
  </cellWatch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Layout" topLeftCell="A10" zoomScaleNormal="100" zoomScaleSheetLayoutView="100" workbookViewId="0">
      <selection activeCell="F36" sqref="F36"/>
    </sheetView>
  </sheetViews>
  <sheetFormatPr baseColWidth="10" defaultRowHeight="13.5" x14ac:dyDescent="0.25"/>
  <cols>
    <col min="1" max="1" width="8.28515625" style="3" customWidth="1"/>
    <col min="2" max="2" width="10" style="3" customWidth="1"/>
    <col min="3" max="6" width="8.85546875" style="3" customWidth="1"/>
    <col min="7" max="7" width="11.42578125" style="3"/>
    <col min="8" max="8" width="14.140625" style="3" customWidth="1"/>
    <col min="9" max="16384" width="11.42578125" style="3"/>
  </cols>
  <sheetData>
    <row r="1" spans="1:11" ht="15.75" x14ac:dyDescent="0.25">
      <c r="A1" s="312" t="s">
        <v>69</v>
      </c>
      <c r="B1" s="312"/>
      <c r="C1" s="312"/>
      <c r="D1" s="312"/>
      <c r="E1" s="312"/>
      <c r="F1" s="312"/>
      <c r="G1" s="312"/>
      <c r="H1" s="2"/>
      <c r="K1" s="261" t="s">
        <v>204</v>
      </c>
    </row>
    <row r="2" spans="1:11" ht="15.75" x14ac:dyDescent="0.25">
      <c r="A2" s="312" t="s">
        <v>83</v>
      </c>
      <c r="B2" s="312"/>
      <c r="C2" s="312"/>
      <c r="D2" s="312"/>
      <c r="E2" s="312"/>
      <c r="F2" s="312"/>
      <c r="G2" s="312"/>
      <c r="H2" s="2"/>
    </row>
    <row r="3" spans="1:11" ht="15.75" x14ac:dyDescent="0.25">
      <c r="A3" s="312" t="s">
        <v>84</v>
      </c>
      <c r="B3" s="312"/>
      <c r="C3" s="312"/>
      <c r="D3" s="312"/>
      <c r="E3" s="312"/>
      <c r="F3" s="312"/>
      <c r="G3" s="312"/>
      <c r="H3" s="2"/>
    </row>
    <row r="4" spans="1:11" ht="14.25" thickBot="1" x14ac:dyDescent="0.3"/>
    <row r="5" spans="1:11" ht="15.75" x14ac:dyDescent="0.25">
      <c r="A5" s="346" t="s">
        <v>19</v>
      </c>
      <c r="B5" s="347"/>
      <c r="C5" s="348" t="s">
        <v>72</v>
      </c>
      <c r="D5" s="348"/>
      <c r="E5" s="348"/>
      <c r="F5" s="348"/>
      <c r="G5" s="348"/>
      <c r="H5" s="364" t="s">
        <v>331</v>
      </c>
    </row>
    <row r="6" spans="1:11" ht="129.94999999999999" customHeight="1" thickBot="1" x14ac:dyDescent="0.3">
      <c r="A6" s="350" t="s">
        <v>73</v>
      </c>
      <c r="B6" s="351"/>
      <c r="C6" s="352" t="s">
        <v>39</v>
      </c>
      <c r="D6" s="352" t="s">
        <v>40</v>
      </c>
      <c r="E6" s="352" t="s">
        <v>41</v>
      </c>
      <c r="F6" s="352" t="s">
        <v>42</v>
      </c>
      <c r="G6" s="354" t="s">
        <v>43</v>
      </c>
      <c r="H6" s="355" t="s">
        <v>74</v>
      </c>
    </row>
    <row r="7" spans="1:11" x14ac:dyDescent="0.25">
      <c r="A7" s="356" t="s">
        <v>82</v>
      </c>
      <c r="B7" s="357"/>
      <c r="C7" s="308">
        <v>0</v>
      </c>
      <c r="D7" s="308">
        <v>0</v>
      </c>
      <c r="E7" s="308">
        <v>0</v>
      </c>
      <c r="F7" s="308">
        <v>0</v>
      </c>
      <c r="G7" s="161">
        <f t="shared" ref="G7:G43" si="0">SUM(C7:F7)</f>
        <v>0</v>
      </c>
      <c r="H7" s="358"/>
    </row>
    <row r="8" spans="1:11" x14ac:dyDescent="0.25">
      <c r="A8" s="356" t="s">
        <v>75</v>
      </c>
      <c r="B8" s="357"/>
      <c r="C8" s="308">
        <v>0</v>
      </c>
      <c r="D8" s="308">
        <v>0</v>
      </c>
      <c r="E8" s="308">
        <v>0</v>
      </c>
      <c r="F8" s="308">
        <v>0</v>
      </c>
      <c r="G8" s="161">
        <f t="shared" si="0"/>
        <v>0</v>
      </c>
      <c r="H8" s="358"/>
    </row>
    <row r="9" spans="1:11" x14ac:dyDescent="0.25">
      <c r="A9" s="958" t="s">
        <v>77</v>
      </c>
      <c r="B9" s="959"/>
      <c r="C9" s="308">
        <v>0</v>
      </c>
      <c r="D9" s="308">
        <v>0</v>
      </c>
      <c r="E9" s="308">
        <v>0</v>
      </c>
      <c r="F9" s="308">
        <v>0</v>
      </c>
      <c r="G9" s="161">
        <f t="shared" si="0"/>
        <v>0</v>
      </c>
      <c r="H9" s="358"/>
    </row>
    <row r="10" spans="1:11" x14ac:dyDescent="0.25">
      <c r="A10" s="958" t="s">
        <v>301</v>
      </c>
      <c r="B10" s="959"/>
      <c r="C10" s="308">
        <v>0</v>
      </c>
      <c r="D10" s="308">
        <v>0</v>
      </c>
      <c r="E10" s="308">
        <v>1</v>
      </c>
      <c r="F10" s="308">
        <v>0</v>
      </c>
      <c r="G10" s="161">
        <f t="shared" si="0"/>
        <v>1</v>
      </c>
      <c r="H10" s="358"/>
    </row>
    <row r="11" spans="1:11" ht="14.25" thickBot="1" x14ac:dyDescent="0.3">
      <c r="A11" s="960" t="s">
        <v>67</v>
      </c>
      <c r="B11" s="961"/>
      <c r="C11" s="308">
        <v>0</v>
      </c>
      <c r="D11" s="308">
        <v>0</v>
      </c>
      <c r="E11" s="308">
        <v>0</v>
      </c>
      <c r="F11" s="308">
        <v>0</v>
      </c>
      <c r="G11" s="161">
        <f t="shared" si="0"/>
        <v>0</v>
      </c>
      <c r="H11" s="358"/>
    </row>
    <row r="12" spans="1:11" ht="14.25" thickBot="1" x14ac:dyDescent="0.3">
      <c r="A12" s="359" t="s">
        <v>19</v>
      </c>
      <c r="B12" s="360"/>
      <c r="C12" s="184">
        <f>SUM(C7:C11)</f>
        <v>0</v>
      </c>
      <c r="D12" s="184">
        <f>SUM(D7:D11)</f>
        <v>0</v>
      </c>
      <c r="E12" s="184">
        <f>SUM(E7:E11)</f>
        <v>1</v>
      </c>
      <c r="F12" s="184">
        <f>SUM(F7:F11)</f>
        <v>0</v>
      </c>
      <c r="G12" s="184">
        <f t="shared" si="0"/>
        <v>1</v>
      </c>
      <c r="H12" s="361" t="s">
        <v>10</v>
      </c>
    </row>
    <row r="13" spans="1:11" x14ac:dyDescent="0.25">
      <c r="A13" s="356" t="s">
        <v>82</v>
      </c>
      <c r="B13" s="357"/>
      <c r="C13" s="308">
        <v>0</v>
      </c>
      <c r="D13" s="308">
        <v>0</v>
      </c>
      <c r="E13" s="308">
        <v>0</v>
      </c>
      <c r="F13" s="308">
        <v>0</v>
      </c>
      <c r="G13" s="161">
        <f t="shared" si="0"/>
        <v>0</v>
      </c>
      <c r="H13" s="358"/>
    </row>
    <row r="14" spans="1:11" x14ac:dyDescent="0.25">
      <c r="A14" s="356" t="s">
        <v>75</v>
      </c>
      <c r="B14" s="357"/>
      <c r="C14" s="308">
        <v>0</v>
      </c>
      <c r="D14" s="308">
        <v>2</v>
      </c>
      <c r="E14" s="308">
        <v>0</v>
      </c>
      <c r="F14" s="308">
        <v>0</v>
      </c>
      <c r="G14" s="161">
        <f t="shared" si="0"/>
        <v>2</v>
      </c>
      <c r="H14" s="358"/>
    </row>
    <row r="15" spans="1:11" x14ac:dyDescent="0.25">
      <c r="A15" s="958" t="s">
        <v>77</v>
      </c>
      <c r="B15" s="959"/>
      <c r="C15" s="308">
        <v>0</v>
      </c>
      <c r="D15" s="308">
        <v>0</v>
      </c>
      <c r="E15" s="308">
        <v>0</v>
      </c>
      <c r="F15" s="308">
        <v>0</v>
      </c>
      <c r="G15" s="161">
        <f t="shared" si="0"/>
        <v>0</v>
      </c>
      <c r="H15" s="358"/>
    </row>
    <row r="16" spans="1:11" x14ac:dyDescent="0.25">
      <c r="A16" s="958" t="s">
        <v>301</v>
      </c>
      <c r="B16" s="959"/>
      <c r="C16" s="308">
        <v>0</v>
      </c>
      <c r="D16" s="308">
        <v>0</v>
      </c>
      <c r="E16" s="308">
        <v>0</v>
      </c>
      <c r="F16" s="308">
        <v>0</v>
      </c>
      <c r="G16" s="161">
        <f t="shared" si="0"/>
        <v>0</v>
      </c>
      <c r="H16" s="358"/>
    </row>
    <row r="17" spans="1:8" ht="14.25" thickBot="1" x14ac:dyDescent="0.3">
      <c r="A17" s="960" t="s">
        <v>67</v>
      </c>
      <c r="B17" s="961"/>
      <c r="C17" s="308">
        <v>0</v>
      </c>
      <c r="D17" s="308">
        <v>0</v>
      </c>
      <c r="E17" s="308">
        <v>0</v>
      </c>
      <c r="F17" s="308">
        <v>0</v>
      </c>
      <c r="G17" s="161">
        <f t="shared" si="0"/>
        <v>0</v>
      </c>
      <c r="H17" s="358"/>
    </row>
    <row r="18" spans="1:8" ht="14.25" thickBot="1" x14ac:dyDescent="0.3">
      <c r="A18" s="359" t="s">
        <v>19</v>
      </c>
      <c r="B18" s="360"/>
      <c r="C18" s="184">
        <f>SUM(C13:C17)</f>
        <v>0</v>
      </c>
      <c r="D18" s="184">
        <f>SUM(D13:D17)</f>
        <v>2</v>
      </c>
      <c r="E18" s="184">
        <f>SUM(E13:E17)</f>
        <v>0</v>
      </c>
      <c r="F18" s="184">
        <f>SUM(F13:F17)</f>
        <v>0</v>
      </c>
      <c r="G18" s="184">
        <f t="shared" si="0"/>
        <v>2</v>
      </c>
      <c r="H18" s="361" t="s">
        <v>11</v>
      </c>
    </row>
    <row r="19" spans="1:8" x14ac:dyDescent="0.25">
      <c r="A19" s="356" t="s">
        <v>82</v>
      </c>
      <c r="B19" s="357"/>
      <c r="C19" s="308">
        <v>0</v>
      </c>
      <c r="D19" s="308">
        <v>0</v>
      </c>
      <c r="E19" s="308">
        <v>0</v>
      </c>
      <c r="F19" s="308">
        <v>0</v>
      </c>
      <c r="G19" s="161">
        <f t="shared" si="0"/>
        <v>0</v>
      </c>
      <c r="H19" s="358"/>
    </row>
    <row r="20" spans="1:8" x14ac:dyDescent="0.25">
      <c r="A20" s="356" t="s">
        <v>75</v>
      </c>
      <c r="B20" s="357"/>
      <c r="C20" s="308">
        <v>0</v>
      </c>
      <c r="D20" s="308">
        <v>0</v>
      </c>
      <c r="E20" s="308">
        <v>0</v>
      </c>
      <c r="F20" s="308">
        <v>0</v>
      </c>
      <c r="G20" s="161">
        <f t="shared" si="0"/>
        <v>0</v>
      </c>
      <c r="H20" s="358"/>
    </row>
    <row r="21" spans="1:8" x14ac:dyDescent="0.25">
      <c r="A21" s="958" t="s">
        <v>77</v>
      </c>
      <c r="B21" s="959"/>
      <c r="C21" s="308">
        <v>0</v>
      </c>
      <c r="D21" s="308">
        <v>0</v>
      </c>
      <c r="E21" s="308">
        <v>0</v>
      </c>
      <c r="F21" s="308">
        <v>0</v>
      </c>
      <c r="G21" s="161">
        <f t="shared" si="0"/>
        <v>0</v>
      </c>
      <c r="H21" s="358"/>
    </row>
    <row r="22" spans="1:8" x14ac:dyDescent="0.25">
      <c r="A22" s="958" t="s">
        <v>301</v>
      </c>
      <c r="B22" s="959"/>
      <c r="C22" s="308">
        <v>0</v>
      </c>
      <c r="D22" s="308">
        <v>0</v>
      </c>
      <c r="E22" s="308">
        <v>2</v>
      </c>
      <c r="F22" s="308">
        <v>0</v>
      </c>
      <c r="G22" s="161">
        <f t="shared" si="0"/>
        <v>2</v>
      </c>
      <c r="H22" s="358"/>
    </row>
    <row r="23" spans="1:8" ht="14.25" thickBot="1" x14ac:dyDescent="0.3">
      <c r="A23" s="960" t="s">
        <v>67</v>
      </c>
      <c r="B23" s="961"/>
      <c r="C23" s="308">
        <v>0</v>
      </c>
      <c r="D23" s="308">
        <v>0</v>
      </c>
      <c r="E23" s="308">
        <v>0</v>
      </c>
      <c r="F23" s="308">
        <v>0</v>
      </c>
      <c r="G23" s="161">
        <f t="shared" si="0"/>
        <v>0</v>
      </c>
      <c r="H23" s="358"/>
    </row>
    <row r="24" spans="1:8" ht="14.25" thickBot="1" x14ac:dyDescent="0.3">
      <c r="A24" s="359" t="s">
        <v>19</v>
      </c>
      <c r="B24" s="360"/>
      <c r="C24" s="184">
        <f>SUM(C19:C23)</f>
        <v>0</v>
      </c>
      <c r="D24" s="184">
        <f>SUM(D19:D23)</f>
        <v>0</v>
      </c>
      <c r="E24" s="184">
        <f>SUM(E19:E23)</f>
        <v>2</v>
      </c>
      <c r="F24" s="184">
        <f>SUM(F19:F23)</f>
        <v>0</v>
      </c>
      <c r="G24" s="184">
        <f t="shared" si="0"/>
        <v>2</v>
      </c>
      <c r="H24" s="361" t="s">
        <v>12</v>
      </c>
    </row>
    <row r="25" spans="1:8" x14ac:dyDescent="0.25">
      <c r="A25" s="356" t="s">
        <v>82</v>
      </c>
      <c r="B25" s="357"/>
      <c r="C25" s="308">
        <v>0</v>
      </c>
      <c r="D25" s="308">
        <v>0</v>
      </c>
      <c r="E25" s="308">
        <v>0</v>
      </c>
      <c r="F25" s="308">
        <v>0</v>
      </c>
      <c r="G25" s="161">
        <f t="shared" si="0"/>
        <v>0</v>
      </c>
      <c r="H25" s="358"/>
    </row>
    <row r="26" spans="1:8" ht="12" customHeight="1" x14ac:dyDescent="0.25">
      <c r="A26" s="356" t="s">
        <v>75</v>
      </c>
      <c r="B26" s="357"/>
      <c r="C26" s="308">
        <v>0</v>
      </c>
      <c r="D26" s="308">
        <v>0</v>
      </c>
      <c r="E26" s="308">
        <v>1</v>
      </c>
      <c r="F26" s="308">
        <v>1</v>
      </c>
      <c r="G26" s="161">
        <f t="shared" si="0"/>
        <v>2</v>
      </c>
      <c r="H26" s="358"/>
    </row>
    <row r="27" spans="1:8" x14ac:dyDescent="0.25">
      <c r="A27" s="958" t="s">
        <v>77</v>
      </c>
      <c r="B27" s="959"/>
      <c r="C27" s="308">
        <v>0</v>
      </c>
      <c r="D27" s="308">
        <v>0</v>
      </c>
      <c r="E27" s="308">
        <v>0</v>
      </c>
      <c r="F27" s="308">
        <v>0</v>
      </c>
      <c r="G27" s="161">
        <f t="shared" si="0"/>
        <v>0</v>
      </c>
      <c r="H27" s="358"/>
    </row>
    <row r="28" spans="1:8" x14ac:dyDescent="0.25">
      <c r="A28" s="958" t="s">
        <v>301</v>
      </c>
      <c r="B28" s="959"/>
      <c r="C28" s="308">
        <v>0</v>
      </c>
      <c r="D28" s="308">
        <v>0</v>
      </c>
      <c r="E28" s="308">
        <v>3</v>
      </c>
      <c r="F28" s="308">
        <v>0</v>
      </c>
      <c r="G28" s="161">
        <f t="shared" si="0"/>
        <v>3</v>
      </c>
      <c r="H28" s="358"/>
    </row>
    <row r="29" spans="1:8" ht="14.25" thickBot="1" x14ac:dyDescent="0.3">
      <c r="A29" s="960" t="s">
        <v>67</v>
      </c>
      <c r="B29" s="961"/>
      <c r="C29" s="308">
        <v>0</v>
      </c>
      <c r="D29" s="308">
        <v>0</v>
      </c>
      <c r="E29" s="308">
        <v>0</v>
      </c>
      <c r="F29" s="308">
        <v>0</v>
      </c>
      <c r="G29" s="161">
        <f t="shared" si="0"/>
        <v>0</v>
      </c>
      <c r="H29" s="358"/>
    </row>
    <row r="30" spans="1:8" ht="14.25" thickBot="1" x14ac:dyDescent="0.3">
      <c r="A30" s="359" t="s">
        <v>19</v>
      </c>
      <c r="B30" s="360"/>
      <c r="C30" s="184">
        <f>SUM(C25:C29)</f>
        <v>0</v>
      </c>
      <c r="D30" s="184">
        <f>SUM(D25:D29)</f>
        <v>0</v>
      </c>
      <c r="E30" s="184">
        <f>SUM(E25:E29)</f>
        <v>4</v>
      </c>
      <c r="F30" s="184">
        <f>SUM(F25:F29)</f>
        <v>1</v>
      </c>
      <c r="G30" s="184">
        <f t="shared" si="0"/>
        <v>5</v>
      </c>
      <c r="H30" s="361" t="s">
        <v>13</v>
      </c>
    </row>
    <row r="31" spans="1:8" x14ac:dyDescent="0.25">
      <c r="A31" s="356" t="s">
        <v>82</v>
      </c>
      <c r="B31" s="357"/>
      <c r="C31" s="308">
        <v>0</v>
      </c>
      <c r="D31" s="308">
        <v>0</v>
      </c>
      <c r="E31" s="308">
        <v>0</v>
      </c>
      <c r="F31" s="308">
        <v>0</v>
      </c>
      <c r="G31" s="161">
        <f t="shared" si="0"/>
        <v>0</v>
      </c>
      <c r="H31" s="358"/>
    </row>
    <row r="32" spans="1:8" x14ac:dyDescent="0.25">
      <c r="A32" s="356" t="s">
        <v>75</v>
      </c>
      <c r="B32" s="357"/>
      <c r="C32" s="308">
        <v>0</v>
      </c>
      <c r="D32" s="308">
        <v>0</v>
      </c>
      <c r="E32" s="308">
        <v>0</v>
      </c>
      <c r="F32" s="308">
        <v>0</v>
      </c>
      <c r="G32" s="161">
        <f t="shared" si="0"/>
        <v>0</v>
      </c>
      <c r="H32" s="358"/>
    </row>
    <row r="33" spans="1:8" x14ac:dyDescent="0.25">
      <c r="A33" s="958" t="s">
        <v>77</v>
      </c>
      <c r="B33" s="959"/>
      <c r="C33" s="308">
        <v>0</v>
      </c>
      <c r="D33" s="308">
        <v>0</v>
      </c>
      <c r="E33" s="308">
        <v>0</v>
      </c>
      <c r="F33" s="308">
        <v>0</v>
      </c>
      <c r="G33" s="161">
        <f t="shared" si="0"/>
        <v>0</v>
      </c>
      <c r="H33" s="358"/>
    </row>
    <row r="34" spans="1:8" x14ac:dyDescent="0.25">
      <c r="A34" s="958" t="s">
        <v>301</v>
      </c>
      <c r="B34" s="959"/>
      <c r="C34" s="308">
        <v>0</v>
      </c>
      <c r="D34" s="308">
        <v>1</v>
      </c>
      <c r="E34" s="308">
        <v>1</v>
      </c>
      <c r="F34" s="308">
        <v>0</v>
      </c>
      <c r="G34" s="161">
        <f t="shared" si="0"/>
        <v>2</v>
      </c>
      <c r="H34" s="358"/>
    </row>
    <row r="35" spans="1:8" ht="14.25" thickBot="1" x14ac:dyDescent="0.3">
      <c r="A35" s="960" t="s">
        <v>67</v>
      </c>
      <c r="B35" s="961"/>
      <c r="C35" s="308">
        <v>0</v>
      </c>
      <c r="D35" s="308">
        <v>0</v>
      </c>
      <c r="E35" s="308">
        <v>0</v>
      </c>
      <c r="F35" s="308">
        <v>0</v>
      </c>
      <c r="G35" s="161">
        <f t="shared" si="0"/>
        <v>0</v>
      </c>
      <c r="H35" s="358"/>
    </row>
    <row r="36" spans="1:8" ht="14.25" thickBot="1" x14ac:dyDescent="0.3">
      <c r="A36" s="359" t="s">
        <v>19</v>
      </c>
      <c r="B36" s="360"/>
      <c r="C36" s="184">
        <f>SUM(C31:C35)</f>
        <v>0</v>
      </c>
      <c r="D36" s="184">
        <f>SUM(D31:D35)</f>
        <v>1</v>
      </c>
      <c r="E36" s="184">
        <f>SUM(E31:E35)</f>
        <v>1</v>
      </c>
      <c r="F36" s="184">
        <f>SUM(F31:F35)</f>
        <v>0</v>
      </c>
      <c r="G36" s="184">
        <f t="shared" si="0"/>
        <v>2</v>
      </c>
      <c r="H36" s="361" t="s">
        <v>14</v>
      </c>
    </row>
    <row r="37" spans="1:8" x14ac:dyDescent="0.25">
      <c r="A37" s="356" t="s">
        <v>82</v>
      </c>
      <c r="B37" s="357"/>
      <c r="C37" s="604"/>
      <c r="D37" s="604"/>
      <c r="E37" s="604"/>
      <c r="F37" s="604"/>
      <c r="G37" s="161">
        <f t="shared" si="0"/>
        <v>0</v>
      </c>
      <c r="H37" s="358"/>
    </row>
    <row r="38" spans="1:8" x14ac:dyDescent="0.25">
      <c r="A38" s="356" t="s">
        <v>75</v>
      </c>
      <c r="B38" s="357"/>
      <c r="C38" s="604"/>
      <c r="D38" s="604"/>
      <c r="E38" s="604"/>
      <c r="F38" s="604"/>
      <c r="G38" s="161">
        <f t="shared" si="0"/>
        <v>0</v>
      </c>
      <c r="H38" s="358"/>
    </row>
    <row r="39" spans="1:8" x14ac:dyDescent="0.25">
      <c r="A39" s="958" t="s">
        <v>77</v>
      </c>
      <c r="B39" s="959"/>
      <c r="C39" s="604"/>
      <c r="D39" s="604"/>
      <c r="E39" s="604"/>
      <c r="F39" s="604"/>
      <c r="G39" s="161">
        <f t="shared" si="0"/>
        <v>0</v>
      </c>
      <c r="H39" s="358"/>
    </row>
    <row r="40" spans="1:8" x14ac:dyDescent="0.25">
      <c r="A40" s="958" t="s">
        <v>301</v>
      </c>
      <c r="B40" s="959"/>
      <c r="C40" s="604"/>
      <c r="D40" s="604"/>
      <c r="E40" s="604"/>
      <c r="F40" s="604"/>
      <c r="G40" s="161">
        <f t="shared" si="0"/>
        <v>0</v>
      </c>
      <c r="H40" s="358"/>
    </row>
    <row r="41" spans="1:8" ht="14.25" thickBot="1" x14ac:dyDescent="0.3">
      <c r="A41" s="960" t="s">
        <v>67</v>
      </c>
      <c r="B41" s="961"/>
      <c r="C41" s="604"/>
      <c r="D41" s="604"/>
      <c r="E41" s="604"/>
      <c r="F41" s="604"/>
      <c r="G41" s="161">
        <f t="shared" si="0"/>
        <v>0</v>
      </c>
      <c r="H41" s="358"/>
    </row>
    <row r="42" spans="1:8" ht="14.25" thickBot="1" x14ac:dyDescent="0.3">
      <c r="A42" s="359" t="s">
        <v>19</v>
      </c>
      <c r="B42" s="360"/>
      <c r="C42" s="184"/>
      <c r="D42" s="184"/>
      <c r="E42" s="184"/>
      <c r="F42" s="184"/>
      <c r="G42" s="184">
        <f t="shared" si="0"/>
        <v>0</v>
      </c>
      <c r="H42" s="361" t="s">
        <v>15</v>
      </c>
    </row>
    <row r="43" spans="1:8" ht="14.25" thickBot="1" x14ac:dyDescent="0.3">
      <c r="A43" s="359" t="s">
        <v>19</v>
      </c>
      <c r="B43" s="360"/>
      <c r="C43" s="184">
        <f>SUM(C42,C36,C30,C24,C18,C12)</f>
        <v>0</v>
      </c>
      <c r="D43" s="184">
        <f>SUM(D42,D36,D30,D24,D18,D12)</f>
        <v>3</v>
      </c>
      <c r="E43" s="184">
        <f>SUM(E42,E36,E30,E24,E18,E12)</f>
        <v>8</v>
      </c>
      <c r="F43" s="184">
        <f>SUM(F42,F36,F30,F24,F18,F12)</f>
        <v>1</v>
      </c>
      <c r="G43" s="184">
        <f t="shared" si="0"/>
        <v>12</v>
      </c>
      <c r="H43" s="361" t="s">
        <v>302</v>
      </c>
    </row>
    <row r="44" spans="1:8" x14ac:dyDescent="0.25">
      <c r="G44" s="123"/>
    </row>
    <row r="45" spans="1:8" x14ac:dyDescent="0.25">
      <c r="A45" s="3" t="s">
        <v>319</v>
      </c>
      <c r="G45" s="123"/>
    </row>
    <row r="46" spans="1:8" x14ac:dyDescent="0.25">
      <c r="G46" s="123"/>
    </row>
    <row r="47" spans="1:8" x14ac:dyDescent="0.25">
      <c r="G47" s="123"/>
    </row>
    <row r="48" spans="1:8" x14ac:dyDescent="0.25">
      <c r="G48" s="123"/>
    </row>
    <row r="49" spans="7:7" x14ac:dyDescent="0.25">
      <c r="G49" s="123"/>
    </row>
    <row r="50" spans="7:7" x14ac:dyDescent="0.25">
      <c r="G50" s="123"/>
    </row>
    <row r="51" spans="7:7" x14ac:dyDescent="0.25">
      <c r="G51" s="123"/>
    </row>
    <row r="52" spans="7:7" x14ac:dyDescent="0.25">
      <c r="G52" s="123"/>
    </row>
    <row r="53" spans="7:7" x14ac:dyDescent="0.25">
      <c r="G53" s="123"/>
    </row>
    <row r="54" spans="7:7" x14ac:dyDescent="0.25">
      <c r="G54" s="123"/>
    </row>
    <row r="55" spans="7:7" x14ac:dyDescent="0.25">
      <c r="G55" s="123"/>
    </row>
    <row r="56" spans="7:7" x14ac:dyDescent="0.25">
      <c r="G56" s="123"/>
    </row>
    <row r="57" spans="7:7" x14ac:dyDescent="0.25">
      <c r="G57" s="123"/>
    </row>
    <row r="58" spans="7:7" x14ac:dyDescent="0.25">
      <c r="G58" s="123"/>
    </row>
    <row r="59" spans="7:7" x14ac:dyDescent="0.25">
      <c r="G59" s="123"/>
    </row>
    <row r="60" spans="7:7" x14ac:dyDescent="0.25">
      <c r="G60" s="123"/>
    </row>
    <row r="61" spans="7:7" x14ac:dyDescent="0.25">
      <c r="G61" s="123"/>
    </row>
    <row r="62" spans="7:7" x14ac:dyDescent="0.25">
      <c r="G62" s="123"/>
    </row>
    <row r="63" spans="7:7" x14ac:dyDescent="0.25">
      <c r="G63" s="123"/>
    </row>
    <row r="64" spans="7:7" x14ac:dyDescent="0.25">
      <c r="G64" s="123"/>
    </row>
    <row r="65" spans="7:7" x14ac:dyDescent="0.25">
      <c r="G65" s="123"/>
    </row>
    <row r="66" spans="7:7" x14ac:dyDescent="0.25">
      <c r="G66" s="123"/>
    </row>
    <row r="67" spans="7:7" x14ac:dyDescent="0.25">
      <c r="G67" s="123"/>
    </row>
    <row r="68" spans="7:7" x14ac:dyDescent="0.25">
      <c r="G68" s="123"/>
    </row>
    <row r="69" spans="7:7" x14ac:dyDescent="0.25">
      <c r="G69" s="123"/>
    </row>
    <row r="70" spans="7:7" x14ac:dyDescent="0.25">
      <c r="G70" s="123"/>
    </row>
    <row r="71" spans="7:7" x14ac:dyDescent="0.25">
      <c r="G71" s="123"/>
    </row>
    <row r="72" spans="7:7" x14ac:dyDescent="0.25">
      <c r="G72" s="123"/>
    </row>
    <row r="73" spans="7:7" x14ac:dyDescent="0.25">
      <c r="G73" s="123"/>
    </row>
  </sheetData>
  <customSheetViews>
    <customSheetView guid="{0224233B-564D-4BBC-A6B2-E639E6D2CFB3}" showPageBreak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portrait" horizontalDpi="300" verticalDpi="300" r:id="rId1"/>
      <headerFooter alignWithMargins="0">
        <oddHeader>&amp;LFachbereich 9&amp;C&amp;A&amp;ROktober   2009</oddHeader>
        <oddFooter>Seite &amp;P&amp;R&amp;Z&amp;F</oddFooter>
      </headerFooter>
    </customSheetView>
  </customSheetViews>
  <mergeCells count="18">
    <mergeCell ref="A34:B34"/>
    <mergeCell ref="A35:B35"/>
    <mergeCell ref="A39:B39"/>
    <mergeCell ref="A40:B40"/>
    <mergeCell ref="A41:B41"/>
    <mergeCell ref="A29:B29"/>
    <mergeCell ref="A33:B33"/>
    <mergeCell ref="A9:B9"/>
    <mergeCell ref="A10:B10"/>
    <mergeCell ref="A11:B11"/>
    <mergeCell ref="A16:B16"/>
    <mergeCell ref="A17:B17"/>
    <mergeCell ref="A21:B21"/>
    <mergeCell ref="A15:B15"/>
    <mergeCell ref="A22:B22"/>
    <mergeCell ref="A23:B23"/>
    <mergeCell ref="A27:B27"/>
    <mergeCell ref="A28:B28"/>
  </mergeCells>
  <phoneticPr fontId="2" type="noConversion"/>
  <hyperlinks>
    <hyperlink ref="K1" location="Übersicht!A1" display="zurück zur Übersicht!"/>
  </hyperlinks>
  <printOptions horizontalCentered="1" verticalCentered="1"/>
  <pageMargins left="0.39370078740157483" right="0.39370078740157483" top="0.98425196850393704" bottom="0.39370078740157483" header="0.78740157480314965" footer="0"/>
  <pageSetup paperSize="9" scale="67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Layout" topLeftCell="A15" zoomScaleNormal="90" zoomScaleSheetLayoutView="100" workbookViewId="0">
      <selection activeCell="E42" sqref="E42"/>
    </sheetView>
  </sheetViews>
  <sheetFormatPr baseColWidth="10" defaultRowHeight="13.5" x14ac:dyDescent="0.25"/>
  <cols>
    <col min="1" max="1" width="8.28515625" style="3" customWidth="1"/>
    <col min="2" max="2" width="10" style="3" customWidth="1"/>
    <col min="3" max="5" width="8.85546875" style="3" customWidth="1"/>
    <col min="6" max="6" width="8.85546875" style="3" hidden="1" customWidth="1"/>
    <col min="7" max="7" width="11.42578125" style="3"/>
    <col min="8" max="8" width="14.140625" style="3" customWidth="1"/>
    <col min="9" max="16384" width="11.42578125" style="3"/>
  </cols>
  <sheetData>
    <row r="1" spans="1:11" ht="15.75" x14ac:dyDescent="0.25">
      <c r="A1" s="312" t="s">
        <v>69</v>
      </c>
      <c r="B1" s="312"/>
      <c r="C1" s="312"/>
      <c r="D1" s="312"/>
      <c r="E1" s="312"/>
      <c r="F1" s="312"/>
      <c r="G1" s="312"/>
      <c r="H1" s="2"/>
      <c r="K1" s="261" t="s">
        <v>204</v>
      </c>
    </row>
    <row r="2" spans="1:11" ht="15.75" x14ac:dyDescent="0.25">
      <c r="A2" s="312" t="s">
        <v>85</v>
      </c>
      <c r="B2" s="312"/>
      <c r="C2" s="312"/>
      <c r="D2" s="312"/>
      <c r="E2" s="312"/>
      <c r="F2" s="312"/>
      <c r="G2" s="312"/>
      <c r="H2" s="2"/>
    </row>
    <row r="3" spans="1:11" ht="15.75" x14ac:dyDescent="0.25">
      <c r="A3" s="312" t="s">
        <v>86</v>
      </c>
      <c r="B3" s="312"/>
      <c r="C3" s="312"/>
      <c r="D3" s="312"/>
      <c r="E3" s="312"/>
      <c r="F3" s="312"/>
      <c r="G3" s="312"/>
      <c r="H3" s="2"/>
    </row>
    <row r="4" spans="1:11" ht="14.25" thickBot="1" x14ac:dyDescent="0.3"/>
    <row r="5" spans="1:11" x14ac:dyDescent="0.25">
      <c r="A5" s="605" t="s">
        <v>19</v>
      </c>
      <c r="B5" s="485"/>
      <c r="C5" s="348" t="s">
        <v>72</v>
      </c>
      <c r="D5" s="348"/>
      <c r="E5" s="348"/>
      <c r="F5" s="348"/>
      <c r="G5" s="348"/>
      <c r="H5" s="606" t="s">
        <v>331</v>
      </c>
    </row>
    <row r="6" spans="1:11" ht="129.94999999999999" customHeight="1" thickBot="1" x14ac:dyDescent="0.3">
      <c r="A6" s="350" t="s">
        <v>73</v>
      </c>
      <c r="B6" s="351"/>
      <c r="C6" s="352" t="s">
        <v>87</v>
      </c>
      <c r="D6" s="352" t="s">
        <v>88</v>
      </c>
      <c r="E6" s="352" t="s">
        <v>45</v>
      </c>
      <c r="F6" s="352"/>
      <c r="G6" s="354" t="s">
        <v>46</v>
      </c>
      <c r="H6" s="355" t="s">
        <v>74</v>
      </c>
    </row>
    <row r="7" spans="1:11" x14ac:dyDescent="0.25">
      <c r="A7" s="356" t="s">
        <v>82</v>
      </c>
      <c r="B7" s="357"/>
      <c r="C7" s="308">
        <v>0</v>
      </c>
      <c r="D7" s="308">
        <v>0</v>
      </c>
      <c r="E7" s="308">
        <v>0</v>
      </c>
      <c r="F7" s="308"/>
      <c r="G7" s="161">
        <f t="shared" ref="G7:G43" si="0">SUM(C7:F7)</f>
        <v>0</v>
      </c>
      <c r="H7" s="358"/>
    </row>
    <row r="8" spans="1:11" x14ac:dyDescent="0.25">
      <c r="A8" s="356" t="s">
        <v>75</v>
      </c>
      <c r="B8" s="357"/>
      <c r="C8" s="308">
        <v>0</v>
      </c>
      <c r="D8" s="308">
        <v>0</v>
      </c>
      <c r="E8" s="308">
        <v>0</v>
      </c>
      <c r="F8" s="308"/>
      <c r="G8" s="161">
        <f t="shared" si="0"/>
        <v>0</v>
      </c>
      <c r="H8" s="358"/>
    </row>
    <row r="9" spans="1:11" x14ac:dyDescent="0.25">
      <c r="A9" s="958" t="s">
        <v>76</v>
      </c>
      <c r="B9" s="959"/>
      <c r="C9" s="308">
        <v>0</v>
      </c>
      <c r="D9" s="308">
        <v>0</v>
      </c>
      <c r="E9" s="308">
        <v>0</v>
      </c>
      <c r="F9" s="308"/>
      <c r="G9" s="161">
        <f t="shared" si="0"/>
        <v>0</v>
      </c>
      <c r="H9" s="358"/>
    </row>
    <row r="10" spans="1:11" x14ac:dyDescent="0.25">
      <c r="A10" s="958" t="s">
        <v>301</v>
      </c>
      <c r="B10" s="959"/>
      <c r="C10" s="308">
        <v>0</v>
      </c>
      <c r="D10" s="308">
        <v>0</v>
      </c>
      <c r="E10" s="308">
        <v>0</v>
      </c>
      <c r="F10" s="308"/>
      <c r="G10" s="161">
        <f t="shared" si="0"/>
        <v>0</v>
      </c>
      <c r="H10" s="358"/>
    </row>
    <row r="11" spans="1:11" ht="14.25" thickBot="1" x14ac:dyDescent="0.3">
      <c r="A11" s="960" t="s">
        <v>67</v>
      </c>
      <c r="B11" s="961"/>
      <c r="C11" s="308">
        <v>1</v>
      </c>
      <c r="D11" s="308">
        <v>3</v>
      </c>
      <c r="E11" s="308">
        <v>0</v>
      </c>
      <c r="F11" s="308"/>
      <c r="G11" s="161">
        <f t="shared" si="0"/>
        <v>4</v>
      </c>
      <c r="H11" s="358"/>
    </row>
    <row r="12" spans="1:11" ht="14.25" thickBot="1" x14ac:dyDescent="0.3">
      <c r="A12" s="359" t="s">
        <v>19</v>
      </c>
      <c r="B12" s="360"/>
      <c r="C12" s="184">
        <f>SUM(C7:C11)</f>
        <v>1</v>
      </c>
      <c r="D12" s="184">
        <f>SUM(D7:D11)</f>
        <v>3</v>
      </c>
      <c r="E12" s="184">
        <f>SUM(E7:E11)</f>
        <v>0</v>
      </c>
      <c r="F12" s="184"/>
      <c r="G12" s="184">
        <f t="shared" si="0"/>
        <v>4</v>
      </c>
      <c r="H12" s="361" t="s">
        <v>10</v>
      </c>
    </row>
    <row r="13" spans="1:11" x14ac:dyDescent="0.25">
      <c r="A13" s="356" t="s">
        <v>82</v>
      </c>
      <c r="B13" s="357"/>
      <c r="C13" s="308">
        <v>0</v>
      </c>
      <c r="D13" s="308">
        <v>0</v>
      </c>
      <c r="E13" s="308">
        <v>0</v>
      </c>
      <c r="F13" s="308"/>
      <c r="G13" s="161">
        <f t="shared" si="0"/>
        <v>0</v>
      </c>
      <c r="H13" s="358"/>
    </row>
    <row r="14" spans="1:11" x14ac:dyDescent="0.25">
      <c r="A14" s="356" t="s">
        <v>75</v>
      </c>
      <c r="B14" s="357"/>
      <c r="C14" s="308">
        <v>0</v>
      </c>
      <c r="D14" s="308">
        <v>0</v>
      </c>
      <c r="E14" s="308">
        <v>0</v>
      </c>
      <c r="F14" s="308"/>
      <c r="G14" s="161">
        <f t="shared" si="0"/>
        <v>0</v>
      </c>
      <c r="H14" s="358"/>
    </row>
    <row r="15" spans="1:11" x14ac:dyDescent="0.25">
      <c r="A15" s="958" t="s">
        <v>76</v>
      </c>
      <c r="B15" s="959"/>
      <c r="C15" s="308">
        <v>2</v>
      </c>
      <c r="D15" s="308">
        <v>1</v>
      </c>
      <c r="E15" s="308">
        <v>0</v>
      </c>
      <c r="F15" s="308"/>
      <c r="G15" s="161">
        <f t="shared" si="0"/>
        <v>3</v>
      </c>
      <c r="H15" s="358"/>
    </row>
    <row r="16" spans="1:11" x14ac:dyDescent="0.25">
      <c r="A16" s="958" t="s">
        <v>301</v>
      </c>
      <c r="B16" s="959"/>
      <c r="C16" s="308">
        <v>0</v>
      </c>
      <c r="D16" s="308">
        <v>0</v>
      </c>
      <c r="E16" s="308">
        <v>0</v>
      </c>
      <c r="F16" s="308"/>
      <c r="G16" s="161">
        <f t="shared" si="0"/>
        <v>0</v>
      </c>
      <c r="H16" s="358"/>
    </row>
    <row r="17" spans="1:8" ht="14.25" thickBot="1" x14ac:dyDescent="0.3">
      <c r="A17" s="960" t="s">
        <v>67</v>
      </c>
      <c r="B17" s="961"/>
      <c r="C17" s="308">
        <v>0</v>
      </c>
      <c r="D17" s="308">
        <v>0</v>
      </c>
      <c r="E17" s="308">
        <v>0</v>
      </c>
      <c r="F17" s="308"/>
      <c r="G17" s="161">
        <f t="shared" si="0"/>
        <v>0</v>
      </c>
      <c r="H17" s="358"/>
    </row>
    <row r="18" spans="1:8" ht="14.25" thickBot="1" x14ac:dyDescent="0.3">
      <c r="A18" s="359" t="s">
        <v>19</v>
      </c>
      <c r="B18" s="360"/>
      <c r="C18" s="184">
        <f>SUM(C13:C17)</f>
        <v>2</v>
      </c>
      <c r="D18" s="184">
        <f>SUM(D13:D17)</f>
        <v>1</v>
      </c>
      <c r="E18" s="184">
        <f>SUM(E13:E17)</f>
        <v>0</v>
      </c>
      <c r="F18" s="184"/>
      <c r="G18" s="184">
        <f t="shared" si="0"/>
        <v>3</v>
      </c>
      <c r="H18" s="361" t="s">
        <v>11</v>
      </c>
    </row>
    <row r="19" spans="1:8" x14ac:dyDescent="0.25">
      <c r="A19" s="356" t="s">
        <v>82</v>
      </c>
      <c r="B19" s="357"/>
      <c r="C19" s="308">
        <v>0</v>
      </c>
      <c r="D19" s="308">
        <v>0</v>
      </c>
      <c r="E19" s="308">
        <v>0</v>
      </c>
      <c r="F19" s="308"/>
      <c r="G19" s="161">
        <f t="shared" si="0"/>
        <v>0</v>
      </c>
      <c r="H19" s="358"/>
    </row>
    <row r="20" spans="1:8" x14ac:dyDescent="0.25">
      <c r="A20" s="356" t="s">
        <v>75</v>
      </c>
      <c r="B20" s="357"/>
      <c r="C20" s="308">
        <v>0</v>
      </c>
      <c r="D20" s="308">
        <v>0</v>
      </c>
      <c r="E20" s="308">
        <v>0</v>
      </c>
      <c r="F20" s="308"/>
      <c r="G20" s="161">
        <f t="shared" si="0"/>
        <v>0</v>
      </c>
      <c r="H20" s="358"/>
    </row>
    <row r="21" spans="1:8" x14ac:dyDescent="0.25">
      <c r="A21" s="958" t="s">
        <v>76</v>
      </c>
      <c r="B21" s="959"/>
      <c r="C21" s="308">
        <v>0</v>
      </c>
      <c r="D21" s="308">
        <v>1</v>
      </c>
      <c r="E21" s="308">
        <v>1</v>
      </c>
      <c r="F21" s="308"/>
      <c r="G21" s="161">
        <f t="shared" si="0"/>
        <v>2</v>
      </c>
      <c r="H21" s="358"/>
    </row>
    <row r="22" spans="1:8" x14ac:dyDescent="0.25">
      <c r="A22" s="958" t="s">
        <v>301</v>
      </c>
      <c r="B22" s="959"/>
      <c r="C22" s="308">
        <v>0</v>
      </c>
      <c r="D22" s="308">
        <v>0</v>
      </c>
      <c r="E22" s="308">
        <v>0</v>
      </c>
      <c r="F22" s="308"/>
      <c r="G22" s="161">
        <f t="shared" si="0"/>
        <v>0</v>
      </c>
      <c r="H22" s="358"/>
    </row>
    <row r="23" spans="1:8" ht="14.25" thickBot="1" x14ac:dyDescent="0.3">
      <c r="A23" s="960" t="s">
        <v>67</v>
      </c>
      <c r="B23" s="961"/>
      <c r="C23" s="308">
        <v>0</v>
      </c>
      <c r="D23" s="308">
        <v>0</v>
      </c>
      <c r="E23" s="308">
        <v>0</v>
      </c>
      <c r="F23" s="308"/>
      <c r="G23" s="161">
        <f t="shared" si="0"/>
        <v>0</v>
      </c>
      <c r="H23" s="358"/>
    </row>
    <row r="24" spans="1:8" ht="14.25" thickBot="1" x14ac:dyDescent="0.3">
      <c r="A24" s="359" t="s">
        <v>19</v>
      </c>
      <c r="B24" s="360"/>
      <c r="C24" s="184">
        <f>SUM(C19:C23)</f>
        <v>0</v>
      </c>
      <c r="D24" s="184">
        <f>SUM(D19:D23)</f>
        <v>1</v>
      </c>
      <c r="E24" s="184">
        <f>SUM(E19:E23)</f>
        <v>1</v>
      </c>
      <c r="F24" s="184"/>
      <c r="G24" s="184">
        <f t="shared" si="0"/>
        <v>2</v>
      </c>
      <c r="H24" s="361" t="s">
        <v>12</v>
      </c>
    </row>
    <row r="25" spans="1:8" x14ac:dyDescent="0.25">
      <c r="A25" s="356" t="s">
        <v>82</v>
      </c>
      <c r="B25" s="357"/>
      <c r="C25" s="308">
        <v>0</v>
      </c>
      <c r="D25" s="308">
        <v>0</v>
      </c>
      <c r="E25" s="308">
        <v>0</v>
      </c>
      <c r="F25" s="308"/>
      <c r="G25" s="161">
        <f t="shared" si="0"/>
        <v>0</v>
      </c>
      <c r="H25" s="358"/>
    </row>
    <row r="26" spans="1:8" x14ac:dyDescent="0.25">
      <c r="A26" s="356" t="s">
        <v>75</v>
      </c>
      <c r="B26" s="357"/>
      <c r="C26" s="308">
        <v>0</v>
      </c>
      <c r="D26" s="308">
        <v>0</v>
      </c>
      <c r="E26" s="308">
        <v>0</v>
      </c>
      <c r="F26" s="308"/>
      <c r="G26" s="161">
        <f t="shared" si="0"/>
        <v>0</v>
      </c>
      <c r="H26" s="358"/>
    </row>
    <row r="27" spans="1:8" x14ac:dyDescent="0.25">
      <c r="A27" s="958" t="s">
        <v>76</v>
      </c>
      <c r="B27" s="959"/>
      <c r="C27" s="308">
        <v>1</v>
      </c>
      <c r="D27" s="308">
        <v>1</v>
      </c>
      <c r="E27" s="308">
        <v>0</v>
      </c>
      <c r="F27" s="308"/>
      <c r="G27" s="161">
        <f t="shared" si="0"/>
        <v>2</v>
      </c>
      <c r="H27" s="358"/>
    </row>
    <row r="28" spans="1:8" x14ac:dyDescent="0.25">
      <c r="A28" s="958" t="s">
        <v>301</v>
      </c>
      <c r="B28" s="959"/>
      <c r="C28" s="308">
        <v>0</v>
      </c>
      <c r="D28" s="308">
        <v>0</v>
      </c>
      <c r="E28" s="308">
        <v>0</v>
      </c>
      <c r="F28" s="308"/>
      <c r="G28" s="161">
        <f t="shared" si="0"/>
        <v>0</v>
      </c>
      <c r="H28" s="358"/>
    </row>
    <row r="29" spans="1:8" ht="14.25" thickBot="1" x14ac:dyDescent="0.3">
      <c r="A29" s="960" t="s">
        <v>67</v>
      </c>
      <c r="B29" s="961"/>
      <c r="C29" s="308">
        <v>0</v>
      </c>
      <c r="D29" s="308">
        <v>0</v>
      </c>
      <c r="E29" s="308">
        <v>0</v>
      </c>
      <c r="F29" s="308"/>
      <c r="G29" s="161">
        <f t="shared" si="0"/>
        <v>0</v>
      </c>
      <c r="H29" s="358"/>
    </row>
    <row r="30" spans="1:8" ht="14.25" thickBot="1" x14ac:dyDescent="0.3">
      <c r="A30" s="359" t="s">
        <v>19</v>
      </c>
      <c r="B30" s="360"/>
      <c r="C30" s="184">
        <f>SUM(C25:C29)</f>
        <v>1</v>
      </c>
      <c r="D30" s="184">
        <f>SUM(D25:D29)</f>
        <v>1</v>
      </c>
      <c r="E30" s="184">
        <f>SUM(E25:E29)</f>
        <v>0</v>
      </c>
      <c r="F30" s="184"/>
      <c r="G30" s="184">
        <f t="shared" si="0"/>
        <v>2</v>
      </c>
      <c r="H30" s="361" t="s">
        <v>13</v>
      </c>
    </row>
    <row r="31" spans="1:8" x14ac:dyDescent="0.25">
      <c r="A31" s="356" t="s">
        <v>82</v>
      </c>
      <c r="B31" s="357"/>
      <c r="C31" s="308">
        <v>0</v>
      </c>
      <c r="D31" s="308">
        <v>0</v>
      </c>
      <c r="E31" s="308">
        <v>0</v>
      </c>
      <c r="F31" s="308"/>
      <c r="G31" s="161">
        <f t="shared" si="0"/>
        <v>0</v>
      </c>
      <c r="H31" s="358"/>
    </row>
    <row r="32" spans="1:8" x14ac:dyDescent="0.25">
      <c r="A32" s="356" t="s">
        <v>75</v>
      </c>
      <c r="B32" s="357"/>
      <c r="C32" s="308">
        <v>0</v>
      </c>
      <c r="D32" s="308">
        <v>0</v>
      </c>
      <c r="E32" s="308">
        <v>0</v>
      </c>
      <c r="F32" s="308"/>
      <c r="G32" s="161">
        <f t="shared" si="0"/>
        <v>0</v>
      </c>
      <c r="H32" s="358"/>
    </row>
    <row r="33" spans="1:8" x14ac:dyDescent="0.25">
      <c r="A33" s="958" t="s">
        <v>76</v>
      </c>
      <c r="B33" s="959"/>
      <c r="C33" s="308">
        <v>0</v>
      </c>
      <c r="D33" s="308">
        <v>4</v>
      </c>
      <c r="E33" s="308">
        <v>1</v>
      </c>
      <c r="F33" s="308"/>
      <c r="G33" s="161">
        <f t="shared" si="0"/>
        <v>5</v>
      </c>
      <c r="H33" s="358"/>
    </row>
    <row r="34" spans="1:8" x14ac:dyDescent="0.25">
      <c r="A34" s="958" t="s">
        <v>301</v>
      </c>
      <c r="B34" s="959"/>
      <c r="C34" s="308">
        <v>0</v>
      </c>
      <c r="D34" s="308">
        <v>0</v>
      </c>
      <c r="E34" s="308">
        <v>0</v>
      </c>
      <c r="F34" s="308"/>
      <c r="G34" s="161">
        <f t="shared" si="0"/>
        <v>0</v>
      </c>
      <c r="H34" s="358"/>
    </row>
    <row r="35" spans="1:8" ht="14.25" thickBot="1" x14ac:dyDescent="0.3">
      <c r="A35" s="960" t="s">
        <v>67</v>
      </c>
      <c r="B35" s="961"/>
      <c r="C35" s="308">
        <v>0</v>
      </c>
      <c r="D35" s="308">
        <v>0</v>
      </c>
      <c r="E35" s="308">
        <v>0</v>
      </c>
      <c r="F35" s="308"/>
      <c r="G35" s="161">
        <f t="shared" si="0"/>
        <v>0</v>
      </c>
      <c r="H35" s="358"/>
    </row>
    <row r="36" spans="1:8" ht="14.25" thickBot="1" x14ac:dyDescent="0.3">
      <c r="A36" s="359" t="s">
        <v>19</v>
      </c>
      <c r="B36" s="360"/>
      <c r="C36" s="184">
        <f>SUM(C31:C35)</f>
        <v>0</v>
      </c>
      <c r="D36" s="184">
        <f>SUM(D31:D35)</f>
        <v>4</v>
      </c>
      <c r="E36" s="184">
        <f>SUM(E31:E35)</f>
        <v>1</v>
      </c>
      <c r="F36" s="184"/>
      <c r="G36" s="184">
        <f t="shared" si="0"/>
        <v>5</v>
      </c>
      <c r="H36" s="361" t="s">
        <v>14</v>
      </c>
    </row>
    <row r="37" spans="1:8" x14ac:dyDescent="0.25">
      <c r="A37" s="356" t="s">
        <v>82</v>
      </c>
      <c r="B37" s="357"/>
      <c r="C37" s="308">
        <v>0</v>
      </c>
      <c r="D37" s="308">
        <v>0</v>
      </c>
      <c r="E37" s="308">
        <v>0</v>
      </c>
      <c r="F37" s="308"/>
      <c r="G37" s="161">
        <f t="shared" si="0"/>
        <v>0</v>
      </c>
      <c r="H37" s="358"/>
    </row>
    <row r="38" spans="1:8" x14ac:dyDescent="0.25">
      <c r="A38" s="356" t="s">
        <v>75</v>
      </c>
      <c r="B38" s="357"/>
      <c r="C38" s="308">
        <v>0</v>
      </c>
      <c r="D38" s="308">
        <v>0</v>
      </c>
      <c r="E38" s="308">
        <v>0</v>
      </c>
      <c r="F38" s="308"/>
      <c r="G38" s="161">
        <f t="shared" si="0"/>
        <v>0</v>
      </c>
      <c r="H38" s="358"/>
    </row>
    <row r="39" spans="1:8" x14ac:dyDescent="0.25">
      <c r="A39" s="958" t="s">
        <v>76</v>
      </c>
      <c r="B39" s="959"/>
      <c r="C39" s="308">
        <v>1</v>
      </c>
      <c r="D39" s="308">
        <v>0</v>
      </c>
      <c r="E39" s="308">
        <v>0</v>
      </c>
      <c r="F39" s="308"/>
      <c r="G39" s="161">
        <f t="shared" si="0"/>
        <v>1</v>
      </c>
      <c r="H39" s="358"/>
    </row>
    <row r="40" spans="1:8" x14ac:dyDescent="0.25">
      <c r="A40" s="958" t="s">
        <v>301</v>
      </c>
      <c r="B40" s="959"/>
      <c r="C40" s="308">
        <v>0</v>
      </c>
      <c r="D40" s="308">
        <v>0</v>
      </c>
      <c r="E40" s="308">
        <v>0</v>
      </c>
      <c r="F40" s="308"/>
      <c r="G40" s="161">
        <f t="shared" si="0"/>
        <v>0</v>
      </c>
      <c r="H40" s="358"/>
    </row>
    <row r="41" spans="1:8" ht="14.25" thickBot="1" x14ac:dyDescent="0.3">
      <c r="A41" s="960" t="s">
        <v>67</v>
      </c>
      <c r="B41" s="961"/>
      <c r="C41" s="308">
        <v>0</v>
      </c>
      <c r="D41" s="308">
        <v>0</v>
      </c>
      <c r="E41" s="308">
        <v>0</v>
      </c>
      <c r="F41" s="308"/>
      <c r="G41" s="161">
        <f t="shared" si="0"/>
        <v>0</v>
      </c>
      <c r="H41" s="358"/>
    </row>
    <row r="42" spans="1:8" ht="14.25" thickBot="1" x14ac:dyDescent="0.3">
      <c r="A42" s="359" t="s">
        <v>19</v>
      </c>
      <c r="B42" s="360"/>
      <c r="C42" s="184">
        <f>SUM(C37:C41)</f>
        <v>1</v>
      </c>
      <c r="D42" s="184">
        <f>SUM(D37:D41)</f>
        <v>0</v>
      </c>
      <c r="E42" s="184">
        <f>SUM(E37:E41)</f>
        <v>0</v>
      </c>
      <c r="F42" s="184"/>
      <c r="G42" s="184">
        <f t="shared" si="0"/>
        <v>1</v>
      </c>
      <c r="H42" s="361" t="s">
        <v>15</v>
      </c>
    </row>
    <row r="43" spans="1:8" ht="14.25" thickBot="1" x14ac:dyDescent="0.3">
      <c r="A43" s="359" t="s">
        <v>19</v>
      </c>
      <c r="B43" s="360"/>
      <c r="C43" s="184">
        <f>SUM(C42,C36,C30,C24,C18,C12)</f>
        <v>5</v>
      </c>
      <c r="D43" s="184">
        <f>SUM(D42,D36,D30,D24,D18,D12)</f>
        <v>10</v>
      </c>
      <c r="E43" s="184">
        <f>SUM(E42,E36,E30,E24,E18,E12)</f>
        <v>2</v>
      </c>
      <c r="F43" s="184"/>
      <c r="G43" s="184">
        <f t="shared" si="0"/>
        <v>17</v>
      </c>
      <c r="H43" s="361" t="s">
        <v>302</v>
      </c>
    </row>
    <row r="44" spans="1:8" x14ac:dyDescent="0.25">
      <c r="G44" s="123"/>
    </row>
    <row r="45" spans="1:8" x14ac:dyDescent="0.25">
      <c r="A45" s="3" t="s">
        <v>319</v>
      </c>
      <c r="G45" s="123"/>
    </row>
    <row r="46" spans="1:8" ht="20.100000000000001" customHeight="1" x14ac:dyDescent="0.25">
      <c r="G46" s="123"/>
    </row>
    <row r="47" spans="1:8" x14ac:dyDescent="0.25">
      <c r="G47" s="123"/>
    </row>
    <row r="48" spans="1:8" x14ac:dyDescent="0.25">
      <c r="G48" s="123"/>
    </row>
    <row r="49" spans="7:7" x14ac:dyDescent="0.25">
      <c r="G49" s="123"/>
    </row>
    <row r="50" spans="7:7" x14ac:dyDescent="0.25">
      <c r="G50" s="123"/>
    </row>
    <row r="51" spans="7:7" x14ac:dyDescent="0.25">
      <c r="G51" s="123"/>
    </row>
    <row r="52" spans="7:7" x14ac:dyDescent="0.25">
      <c r="G52" s="123"/>
    </row>
    <row r="53" spans="7:7" x14ac:dyDescent="0.25">
      <c r="G53" s="123"/>
    </row>
    <row r="54" spans="7:7" x14ac:dyDescent="0.25">
      <c r="G54" s="123"/>
    </row>
    <row r="55" spans="7:7" x14ac:dyDescent="0.25">
      <c r="G55" s="123"/>
    </row>
    <row r="56" spans="7:7" x14ac:dyDescent="0.25">
      <c r="G56" s="123"/>
    </row>
    <row r="57" spans="7:7" x14ac:dyDescent="0.25">
      <c r="G57" s="123"/>
    </row>
    <row r="58" spans="7:7" x14ac:dyDescent="0.25">
      <c r="G58" s="123"/>
    </row>
    <row r="59" spans="7:7" x14ac:dyDescent="0.25">
      <c r="G59" s="123"/>
    </row>
    <row r="60" spans="7:7" x14ac:dyDescent="0.25">
      <c r="G60" s="123"/>
    </row>
    <row r="61" spans="7:7" x14ac:dyDescent="0.25">
      <c r="G61" s="123"/>
    </row>
    <row r="62" spans="7:7" x14ac:dyDescent="0.25">
      <c r="G62" s="123"/>
    </row>
    <row r="63" spans="7:7" x14ac:dyDescent="0.25">
      <c r="G63" s="123"/>
    </row>
    <row r="64" spans="7:7" x14ac:dyDescent="0.25">
      <c r="G64" s="123"/>
    </row>
    <row r="65" spans="7:7" x14ac:dyDescent="0.25">
      <c r="G65" s="123"/>
    </row>
    <row r="66" spans="7:7" x14ac:dyDescent="0.25">
      <c r="G66" s="123"/>
    </row>
    <row r="67" spans="7:7" x14ac:dyDescent="0.25">
      <c r="G67" s="123"/>
    </row>
    <row r="68" spans="7:7" x14ac:dyDescent="0.25">
      <c r="G68" s="123"/>
    </row>
    <row r="69" spans="7:7" x14ac:dyDescent="0.25">
      <c r="G69" s="123"/>
    </row>
    <row r="70" spans="7:7" x14ac:dyDescent="0.25">
      <c r="G70" s="123"/>
    </row>
    <row r="71" spans="7:7" x14ac:dyDescent="0.25">
      <c r="G71" s="123"/>
    </row>
    <row r="72" spans="7:7" x14ac:dyDescent="0.25">
      <c r="G72" s="123"/>
    </row>
    <row r="73" spans="7:7" x14ac:dyDescent="0.25">
      <c r="G73" s="123"/>
    </row>
  </sheetData>
  <customSheetViews>
    <customSheetView guid="{0224233B-564D-4BBC-A6B2-E639E6D2CFB3}" showPageBreak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portrait" horizontalDpi="300" verticalDpi="300" r:id="rId1"/>
      <headerFooter alignWithMargins="0">
        <oddHeader>&amp;LFachbereich 9&amp;C&amp;A&amp;ROktober   2009</oddHeader>
        <oddFooter>Seite &amp;P&amp;R&amp;Z&amp;F</oddFooter>
      </headerFooter>
    </customSheetView>
  </customSheetViews>
  <mergeCells count="18">
    <mergeCell ref="A39:B39"/>
    <mergeCell ref="A40:B40"/>
    <mergeCell ref="A41:B41"/>
    <mergeCell ref="A28:B28"/>
    <mergeCell ref="A29:B29"/>
    <mergeCell ref="A33:B33"/>
    <mergeCell ref="A34:B34"/>
    <mergeCell ref="A35:B35"/>
    <mergeCell ref="A17:B17"/>
    <mergeCell ref="A21:B21"/>
    <mergeCell ref="A22:B22"/>
    <mergeCell ref="A23:B23"/>
    <mergeCell ref="A27:B27"/>
    <mergeCell ref="A9:B9"/>
    <mergeCell ref="A10:B10"/>
    <mergeCell ref="A11:B11"/>
    <mergeCell ref="A15:B15"/>
    <mergeCell ref="A16:B16"/>
  </mergeCells>
  <phoneticPr fontId="2" type="noConversion"/>
  <hyperlinks>
    <hyperlink ref="K1" location="Übersicht!A1" display="zurück zur Übersicht!"/>
  </hyperlinks>
  <printOptions horizontalCentered="1" verticalCentered="1"/>
  <pageMargins left="0.39370078740157483" right="0.39370078740157483" top="0.98425196850393704" bottom="0.39370078740157483" header="0.78740157480314965" footer="0"/>
  <pageSetup paperSize="9" scale="67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view="pageLayout" topLeftCell="A4" zoomScaleNormal="100" zoomScaleSheetLayoutView="100" workbookViewId="0"/>
  </sheetViews>
  <sheetFormatPr baseColWidth="10" defaultRowHeight="13.5" x14ac:dyDescent="0.25"/>
  <cols>
    <col min="1" max="2" width="10.85546875" style="3" customWidth="1"/>
    <col min="3" max="6" width="8.85546875" style="3" customWidth="1"/>
    <col min="7" max="7" width="11.42578125" style="123"/>
    <col min="8" max="8" width="14.140625" style="3" customWidth="1"/>
    <col min="9" max="16384" width="11.42578125" style="3"/>
  </cols>
  <sheetData>
    <row r="1" spans="1:11" ht="15.75" x14ac:dyDescent="0.25">
      <c r="A1" s="312" t="s">
        <v>89</v>
      </c>
      <c r="B1" s="312"/>
      <c r="C1" s="312"/>
      <c r="D1" s="312"/>
      <c r="E1" s="312"/>
      <c r="F1" s="312"/>
      <c r="G1" s="312"/>
      <c r="H1" s="313"/>
      <c r="I1" s="313"/>
      <c r="J1" s="313"/>
      <c r="K1" s="261" t="s">
        <v>204</v>
      </c>
    </row>
    <row r="2" spans="1:11" ht="15.75" x14ac:dyDescent="0.25">
      <c r="A2" s="312" t="s">
        <v>174</v>
      </c>
      <c r="B2" s="312"/>
      <c r="C2" s="312"/>
      <c r="D2" s="312"/>
      <c r="E2" s="312"/>
      <c r="F2" s="312"/>
      <c r="G2" s="312"/>
      <c r="H2" s="313"/>
      <c r="I2" s="313"/>
      <c r="J2" s="313"/>
    </row>
    <row r="3" spans="1:11" ht="15.75" x14ac:dyDescent="0.25">
      <c r="A3" s="312" t="s">
        <v>90</v>
      </c>
      <c r="B3" s="312"/>
      <c r="C3" s="312"/>
      <c r="D3" s="312"/>
      <c r="E3" s="312"/>
      <c r="F3" s="312"/>
      <c r="G3" s="312"/>
      <c r="H3" s="367"/>
      <c r="I3" s="313"/>
      <c r="J3" s="313"/>
    </row>
    <row r="4" spans="1:11" ht="14.25" thickBot="1" x14ac:dyDescent="0.3">
      <c r="H4" s="121"/>
    </row>
    <row r="5" spans="1:11" ht="15.75" x14ac:dyDescent="0.25">
      <c r="A5" s="346" t="s">
        <v>90</v>
      </c>
      <c r="B5" s="347"/>
      <c r="C5" s="348" t="s">
        <v>72</v>
      </c>
      <c r="D5" s="348"/>
      <c r="E5" s="348"/>
      <c r="F5" s="348"/>
      <c r="G5" s="364" t="s">
        <v>332</v>
      </c>
      <c r="H5" s="121"/>
    </row>
    <row r="6" spans="1:11" ht="150" customHeight="1" thickBot="1" x14ac:dyDescent="0.3">
      <c r="A6" s="350" t="s">
        <v>73</v>
      </c>
      <c r="B6" s="351"/>
      <c r="C6" s="352" t="s">
        <v>63</v>
      </c>
      <c r="D6" s="352" t="s">
        <v>64</v>
      </c>
      <c r="E6" s="352" t="s">
        <v>66</v>
      </c>
      <c r="F6" s="352" t="s">
        <v>65</v>
      </c>
      <c r="G6" s="368" t="s">
        <v>19</v>
      </c>
      <c r="H6" s="369"/>
    </row>
    <row r="7" spans="1:11" ht="20.100000000000001" customHeight="1" x14ac:dyDescent="0.25">
      <c r="A7" s="365" t="s">
        <v>63</v>
      </c>
      <c r="B7" s="366"/>
      <c r="C7" s="370" t="s">
        <v>91</v>
      </c>
      <c r="D7" s="371">
        <f>'Anlage 5.2'!G7+'Anlage 5.2'!G13+'Anlage 5.2'!G19+'Anlage 5.2'!G25+'Anlage 5.2'!G31+'Anlage 5.2'!G37</f>
        <v>2</v>
      </c>
      <c r="E7" s="371">
        <f>'Anlage 5.4'!G7+'Anlage 5.4'!G13+'Anlage 5.4'!G19+'Anlage 5.4'!G25+'Anlage 5.4'!G31+'Anlage 5.4'!G37</f>
        <v>0</v>
      </c>
      <c r="F7" s="371">
        <f>'Anlage 5.3'!G7+'Anlage 5.3'!G13+'Anlage 5.3'!G19+'Anlage 5.3'!G25+'Anlage 5.3'!G31+'Anlage 5.3'!G37</f>
        <v>0</v>
      </c>
      <c r="G7" s="372">
        <f t="shared" ref="G7:G13" si="0">SUM(C7:F7)</f>
        <v>2</v>
      </c>
      <c r="H7" s="121"/>
    </row>
    <row r="8" spans="1:11" ht="20.100000000000001" customHeight="1" x14ac:dyDescent="0.25">
      <c r="A8" s="356" t="s">
        <v>64</v>
      </c>
      <c r="B8" s="357"/>
      <c r="C8" s="152">
        <f>'Anlage 5.1'!G7+'Anlage 5.1'!G13+'Anlage 5.1'!G19+'Anlage 5.1'!G25+'Anlage 5.1'!G31+'Anlage 5.1'!G37</f>
        <v>9</v>
      </c>
      <c r="D8" s="373" t="s">
        <v>91</v>
      </c>
      <c r="E8" s="157">
        <f>'Anlage 5.4'!G8+'Anlage 5.4'!G14+'Anlage 5.4'!G20+'Anlage 5.4'!G26+'Anlage 5.4'!G32+'Anlage 5.4'!G38</f>
        <v>0</v>
      </c>
      <c r="F8" s="157">
        <f>'Anlage 5.3'!G8+'Anlage 5.3'!G14+'Anlage 5.3'!G20+'Anlage 5.3'!G26+'Anlage 5.3'!G32+'Anlage 5.3'!G38</f>
        <v>4</v>
      </c>
      <c r="G8" s="306">
        <f t="shared" si="0"/>
        <v>13</v>
      </c>
      <c r="H8" s="121"/>
    </row>
    <row r="9" spans="1:11" ht="20.100000000000001" customHeight="1" x14ac:dyDescent="0.25">
      <c r="A9" s="356" t="s">
        <v>66</v>
      </c>
      <c r="B9" s="357"/>
      <c r="C9" s="152">
        <f>'Anlage 5.1'!G9+'Anlage 5.1'!G15+'Anlage 5.1'!G21+'Anlage 5.1'!G27+'Anlage 5.1'!G33+'Anlage 5.1'!G39</f>
        <v>0</v>
      </c>
      <c r="D9" s="157">
        <f>'Anlage 5.2'!G9+'Anlage 5.2'!G15+'Anlage 5.2'!G21+'Anlage 5.2'!G27+'Anlage 5.2'!G33+'Anlage 5.2'!G39</f>
        <v>1</v>
      </c>
      <c r="E9" s="373" t="s">
        <v>91</v>
      </c>
      <c r="F9" s="157">
        <f>'Anlage 5.3'!G9+'Anlage 5.3'!G15+'Anlage 5.3'!G21+'Anlage 5.3'!G27+'Anlage 5.3'!G33+'Anlage 5.3'!G39</f>
        <v>0</v>
      </c>
      <c r="G9" s="306">
        <f t="shared" si="0"/>
        <v>1</v>
      </c>
      <c r="H9" s="121"/>
    </row>
    <row r="10" spans="1:11" ht="20.100000000000001" customHeight="1" x14ac:dyDescent="0.25">
      <c r="A10" s="356" t="s">
        <v>65</v>
      </c>
      <c r="B10" s="357"/>
      <c r="C10" s="152">
        <f>'Anlage 5.1'!G8+'Anlage 5.1'!G14+'Anlage 5.1'!G20+'Anlage 5.1'!G26+'Anlage 5.1'!G32+'Anlage 5.1'!G38</f>
        <v>6</v>
      </c>
      <c r="D10" s="157">
        <f>'Anlage 5.2'!G8+'Anlage 5.2'!G14+'Anlage 5.2'!G20+'Anlage 5.2'!G26+'Anlage 5.2'!G32+'Anlage 5.2'!G38</f>
        <v>18</v>
      </c>
      <c r="E10" s="157">
        <f>'Anlage 5.4'!G9+'Anlage 5.4'!G15+'Anlage 5.4'!G21+'Anlage 5.4'!G27+'Anlage 5.4'!G33+'Anlage 5.4'!G39</f>
        <v>13</v>
      </c>
      <c r="F10" s="373" t="s">
        <v>91</v>
      </c>
      <c r="G10" s="306">
        <f t="shared" si="0"/>
        <v>37</v>
      </c>
      <c r="H10" s="374"/>
    </row>
    <row r="11" spans="1:11" ht="20.100000000000001" customHeight="1" x14ac:dyDescent="0.25">
      <c r="A11" s="958" t="s">
        <v>301</v>
      </c>
      <c r="B11" s="959"/>
      <c r="C11" s="152">
        <f>'Anlage 5.1'!G10+'Anlage 5.1'!G16+'Anlage 5.1'!G22+'Anlage 5.1'!G28+'Anlage 5.1'!G34+'Anlage 5.1'!G40</f>
        <v>2</v>
      </c>
      <c r="D11" s="157">
        <f>'Anlage 5.2'!G10+'Anlage 5.2'!G16+'Anlage 5.2'!G22+'Anlage 5.2'!G28+'Anlage 5.2'!G34+'Anlage 5.2'!G40</f>
        <v>0</v>
      </c>
      <c r="E11" s="157">
        <f>'Anlage 5.4'!G10+'Anlage 5.4'!G16+'Anlage 5.4'!G22+'Anlage 5.4'!G28+'Anlage 5.4'!G34+'Anlage 5.4'!G40</f>
        <v>0</v>
      </c>
      <c r="F11" s="157">
        <f>'Anlage 5.3'!G10+'Anlage 5.3'!G16+'Anlage 5.3'!G22+'Anlage 5.3'!G28+'Anlage 5.3'!G34+'Anlage 5.3'!G40</f>
        <v>8</v>
      </c>
      <c r="G11" s="306">
        <f t="shared" si="0"/>
        <v>10</v>
      </c>
      <c r="H11" s="374"/>
    </row>
    <row r="12" spans="1:11" ht="20.100000000000001" customHeight="1" x14ac:dyDescent="0.25">
      <c r="A12" s="958" t="s">
        <v>67</v>
      </c>
      <c r="B12" s="959"/>
      <c r="C12" s="152">
        <f>'Anlage 5.1'!G11+'Anlage 5.1'!G17+'Anlage 5.1'!G23+'Anlage 5.1'!G29+'Anlage 5.1'!G35+'Anlage 5.1'!G41</f>
        <v>2</v>
      </c>
      <c r="D12" s="157">
        <f>'Anlage 5.2'!G11+'Anlage 5.2'!G17+'Anlage 5.2'!G23+'Anlage 5.2'!G29+'Anlage 5.2'!G35+'Anlage 5.2'!G41</f>
        <v>0</v>
      </c>
      <c r="E12" s="157">
        <f>'Anlage 5.4'!G11+'Anlage 5.4'!G17+'Anlage 5.4'!G23+'Anlage 5.4'!G29+'Anlage 5.4'!G35+'Anlage 5.4'!G41</f>
        <v>4</v>
      </c>
      <c r="F12" s="157">
        <f>'Anlage 5.3'!G11+'Anlage 5.3'!G17+'Anlage 5.3'!G23+'Anlage 5.3'!G29+'Anlage 5.3'!G35+'Anlage 5.3'!G41</f>
        <v>0</v>
      </c>
      <c r="G12" s="306">
        <f t="shared" si="0"/>
        <v>6</v>
      </c>
      <c r="H12" s="374"/>
    </row>
    <row r="13" spans="1:11" ht="30" customHeight="1" thickBot="1" x14ac:dyDescent="0.3">
      <c r="A13" s="375" t="s">
        <v>19</v>
      </c>
      <c r="B13" s="376"/>
      <c r="C13" s="309">
        <f>SUM(C7:C12)</f>
        <v>19</v>
      </c>
      <c r="D13" s="309">
        <f>SUM(D7:D12)</f>
        <v>21</v>
      </c>
      <c r="E13" s="309">
        <f>SUM(E7:E12)</f>
        <v>17</v>
      </c>
      <c r="F13" s="309">
        <f>SUM(F7:F12)</f>
        <v>12</v>
      </c>
      <c r="G13" s="311">
        <f t="shared" si="0"/>
        <v>69</v>
      </c>
      <c r="H13" s="374"/>
    </row>
    <row r="14" spans="1:11" x14ac:dyDescent="0.25">
      <c r="A14" s="377"/>
      <c r="B14" s="377"/>
      <c r="C14" s="121"/>
      <c r="D14" s="121"/>
      <c r="E14" s="121"/>
      <c r="F14" s="121"/>
      <c r="G14" s="267"/>
      <c r="H14" s="378"/>
      <c r="I14" s="121"/>
    </row>
    <row r="15" spans="1:11" ht="20.100000000000001" customHeight="1" x14ac:dyDescent="0.25">
      <c r="A15" s="292"/>
      <c r="B15" s="377"/>
      <c r="C15" s="267"/>
      <c r="D15" s="267"/>
      <c r="E15" s="267"/>
      <c r="F15" s="267"/>
      <c r="G15" s="267"/>
      <c r="H15" s="378"/>
      <c r="I15" s="121"/>
    </row>
    <row r="16" spans="1:11" x14ac:dyDescent="0.25">
      <c r="A16" s="379">
        <f>G13</f>
        <v>69</v>
      </c>
      <c r="B16" s="122" t="s">
        <v>92</v>
      </c>
      <c r="C16" s="121"/>
      <c r="D16" s="121"/>
      <c r="E16" s="121"/>
      <c r="F16" s="121"/>
      <c r="G16" s="267"/>
      <c r="H16" s="378"/>
      <c r="I16" s="121"/>
    </row>
    <row r="17" spans="1:9" x14ac:dyDescent="0.25">
      <c r="A17" s="377"/>
      <c r="B17" s="122"/>
      <c r="C17" s="121"/>
      <c r="D17" s="121"/>
      <c r="E17" s="121"/>
      <c r="F17" s="121"/>
      <c r="G17" s="267"/>
      <c r="H17" s="378"/>
      <c r="I17" s="121"/>
    </row>
    <row r="18" spans="1:9" ht="20.100000000000001" customHeight="1" x14ac:dyDescent="0.25">
      <c r="A18" s="292"/>
      <c r="B18" s="377"/>
      <c r="C18" s="380"/>
      <c r="D18" s="121"/>
      <c r="E18" s="121"/>
      <c r="F18" s="267"/>
      <c r="G18" s="267"/>
      <c r="H18" s="378"/>
      <c r="I18" s="121"/>
    </row>
    <row r="19" spans="1:9" x14ac:dyDescent="0.25">
      <c r="A19" s="377"/>
      <c r="B19" s="377"/>
      <c r="C19" s="121"/>
      <c r="D19" s="121"/>
      <c r="E19" s="121"/>
      <c r="F19" s="121"/>
      <c r="G19" s="267"/>
      <c r="H19" s="378"/>
      <c r="I19" s="121"/>
    </row>
    <row r="20" spans="1:9" ht="14.25" thickBot="1" x14ac:dyDescent="0.3">
      <c r="A20" s="377"/>
      <c r="B20" s="377"/>
      <c r="C20" s="121"/>
      <c r="D20" s="121"/>
      <c r="E20" s="121"/>
      <c r="F20" s="121"/>
      <c r="G20" s="267"/>
      <c r="H20" s="378"/>
      <c r="I20" s="121"/>
    </row>
    <row r="21" spans="1:9" x14ac:dyDescent="0.25">
      <c r="A21" s="381"/>
      <c r="B21" s="382"/>
      <c r="C21" s="365" t="s">
        <v>93</v>
      </c>
      <c r="D21" s="366"/>
      <c r="E21" s="121"/>
      <c r="F21" s="121"/>
      <c r="G21" s="267"/>
      <c r="H21" s="378"/>
      <c r="I21" s="121"/>
    </row>
    <row r="22" spans="1:9" ht="20.100000000000001" customHeight="1" thickBot="1" x14ac:dyDescent="0.3">
      <c r="A22" s="383"/>
      <c r="B22" s="384"/>
      <c r="C22" s="385" t="s">
        <v>68</v>
      </c>
      <c r="D22" s="386" t="s">
        <v>50</v>
      </c>
      <c r="E22" s="267"/>
      <c r="F22" s="267"/>
      <c r="G22" s="267"/>
      <c r="H22" s="378"/>
      <c r="I22" s="121"/>
    </row>
    <row r="23" spans="1:9" ht="20.100000000000001" customHeight="1" x14ac:dyDescent="0.25">
      <c r="A23" s="365" t="s">
        <v>94</v>
      </c>
      <c r="B23" s="366"/>
      <c r="C23" s="157">
        <f>'Anlage 5.1'!G12+'Anlage 5.2'!G12+'Anlage 5.3'!G12+'Anlage 5.4'!G12</f>
        <v>6</v>
      </c>
      <c r="D23" s="153">
        <f t="shared" ref="D23:D29" si="1">C23/$C$29*100</f>
        <v>8.695652173913043</v>
      </c>
      <c r="E23" s="121"/>
      <c r="F23" s="121"/>
      <c r="G23" s="267"/>
      <c r="H23" s="378"/>
      <c r="I23" s="121"/>
    </row>
    <row r="24" spans="1:9" ht="20.100000000000001" customHeight="1" x14ac:dyDescent="0.25">
      <c r="A24" s="356" t="s">
        <v>95</v>
      </c>
      <c r="B24" s="357"/>
      <c r="C24" s="157">
        <f>'Anlage 5.1'!G18+'Anlage 5.2'!G18+'Anlage 5.3'!G18+'Anlage 5.4'!G18</f>
        <v>9</v>
      </c>
      <c r="D24" s="153">
        <f t="shared" si="1"/>
        <v>13.043478260869565</v>
      </c>
      <c r="E24" s="121"/>
      <c r="F24" s="121"/>
      <c r="G24" s="267"/>
      <c r="H24" s="378"/>
      <c r="I24" s="121"/>
    </row>
    <row r="25" spans="1:9" ht="20.100000000000001" customHeight="1" x14ac:dyDescent="0.25">
      <c r="A25" s="356" t="s">
        <v>96</v>
      </c>
      <c r="B25" s="357"/>
      <c r="C25" s="157">
        <f>'Anlage 5.1'!G24+'Anlage 5.2'!G24+'Anlage 5.3'!G24+'Anlage 5.4'!G24</f>
        <v>23</v>
      </c>
      <c r="D25" s="153">
        <f t="shared" si="1"/>
        <v>33.333333333333329</v>
      </c>
      <c r="E25" s="121"/>
      <c r="F25" s="121"/>
      <c r="G25" s="267"/>
      <c r="H25" s="378"/>
      <c r="I25" s="121"/>
    </row>
    <row r="26" spans="1:9" ht="20.100000000000001" customHeight="1" x14ac:dyDescent="0.25">
      <c r="A26" s="356" t="s">
        <v>97</v>
      </c>
      <c r="B26" s="357"/>
      <c r="C26" s="157">
        <f>'Anlage 5.1'!G30+'Anlage 5.2'!G30+'Anlage 5.3'!G30+'Anlage 5.4'!G30</f>
        <v>19</v>
      </c>
      <c r="D26" s="153">
        <f t="shared" si="1"/>
        <v>27.536231884057973</v>
      </c>
      <c r="E26" s="267"/>
      <c r="F26" s="267"/>
      <c r="G26" s="267"/>
      <c r="H26" s="378"/>
      <c r="I26" s="121"/>
    </row>
    <row r="27" spans="1:9" ht="20.100000000000001" customHeight="1" x14ac:dyDescent="0.25">
      <c r="A27" s="356" t="s">
        <v>98</v>
      </c>
      <c r="B27" s="357"/>
      <c r="C27" s="157">
        <f>'Anlage 5.1'!G36+'Anlage 5.2'!G36+'Anlage 5.3'!G36+'Anlage 5.4'!G36</f>
        <v>10</v>
      </c>
      <c r="D27" s="153">
        <f t="shared" si="1"/>
        <v>14.492753623188406</v>
      </c>
      <c r="E27" s="121"/>
      <c r="F27" s="121"/>
      <c r="G27" s="267"/>
      <c r="H27" s="378"/>
      <c r="I27" s="121"/>
    </row>
    <row r="28" spans="1:9" ht="20.100000000000001" customHeight="1" x14ac:dyDescent="0.25">
      <c r="A28" s="356" t="s">
        <v>99</v>
      </c>
      <c r="B28" s="357"/>
      <c r="C28" s="157">
        <f>'Anlage 5.1'!G42+'Anlage 5.2'!G42+'Anlage 5.3'!G42+'Anlage 5.4'!G42</f>
        <v>2</v>
      </c>
      <c r="D28" s="153">
        <f t="shared" si="1"/>
        <v>2.8985507246376812</v>
      </c>
      <c r="E28" s="121"/>
      <c r="F28" s="121"/>
      <c r="G28" s="267"/>
      <c r="H28" s="378"/>
      <c r="I28" s="121"/>
    </row>
    <row r="29" spans="1:9" ht="30" customHeight="1" thickBot="1" x14ac:dyDescent="0.3">
      <c r="A29" s="375" t="s">
        <v>19</v>
      </c>
      <c r="B29" s="376"/>
      <c r="C29" s="310">
        <f>SUM(C23:C28)</f>
        <v>69</v>
      </c>
      <c r="D29" s="387">
        <f t="shared" si="1"/>
        <v>100</v>
      </c>
      <c r="E29" s="121"/>
      <c r="F29" s="121"/>
      <c r="G29" s="267"/>
      <c r="H29" s="378"/>
      <c r="I29" s="121"/>
    </row>
    <row r="30" spans="1:9" ht="20.100000000000001" customHeight="1" x14ac:dyDescent="0.25">
      <c r="A30" s="292"/>
      <c r="B30" s="377"/>
      <c r="C30" s="267"/>
      <c r="D30" s="267"/>
      <c r="E30" s="267"/>
      <c r="F30" s="267"/>
      <c r="G30" s="267"/>
      <c r="H30" s="378"/>
      <c r="I30" s="121"/>
    </row>
    <row r="31" spans="1:9" x14ac:dyDescent="0.25">
      <c r="A31" s="377"/>
      <c r="B31" s="377"/>
      <c r="C31" s="121"/>
      <c r="D31" s="121"/>
      <c r="E31" s="121"/>
      <c r="F31" s="121"/>
      <c r="G31" s="267"/>
      <c r="H31" s="378"/>
      <c r="I31" s="121"/>
    </row>
    <row r="32" spans="1:9" x14ac:dyDescent="0.25">
      <c r="A32" s="377"/>
      <c r="B32" s="377"/>
      <c r="C32" s="121"/>
      <c r="D32" s="121"/>
      <c r="E32" s="121"/>
      <c r="F32" s="121"/>
      <c r="G32" s="267"/>
      <c r="H32" s="378"/>
      <c r="I32" s="121"/>
    </row>
    <row r="33" spans="1:9" x14ac:dyDescent="0.25">
      <c r="A33" s="377"/>
      <c r="B33" s="377"/>
      <c r="C33" s="121"/>
      <c r="D33" s="121"/>
      <c r="E33" s="121"/>
      <c r="F33" s="121"/>
      <c r="G33" s="267"/>
      <c r="H33" s="378"/>
      <c r="I33" s="121"/>
    </row>
    <row r="34" spans="1:9" ht="20.100000000000001" customHeight="1" x14ac:dyDescent="0.25">
      <c r="A34" s="292"/>
      <c r="B34" s="377"/>
      <c r="C34" s="267"/>
      <c r="D34" s="267"/>
      <c r="E34" s="267"/>
      <c r="F34" s="267"/>
      <c r="G34" s="267"/>
      <c r="H34" s="378"/>
      <c r="I34" s="121"/>
    </row>
    <row r="35" spans="1:9" x14ac:dyDescent="0.25">
      <c r="A35" s="377"/>
      <c r="B35" s="377"/>
      <c r="C35" s="121"/>
      <c r="D35" s="121"/>
      <c r="E35" s="121"/>
      <c r="F35" s="121"/>
      <c r="G35" s="267"/>
      <c r="H35" s="378"/>
      <c r="I35" s="121"/>
    </row>
    <row r="36" spans="1:9" x14ac:dyDescent="0.25">
      <c r="A36" s="377"/>
      <c r="B36" s="377"/>
      <c r="C36" s="121"/>
      <c r="D36" s="121"/>
      <c r="E36" s="121"/>
      <c r="F36" s="121"/>
      <c r="G36" s="267"/>
      <c r="H36" s="378"/>
      <c r="I36" s="121"/>
    </row>
    <row r="37" spans="1:9" x14ac:dyDescent="0.25">
      <c r="A37" s="377"/>
      <c r="B37" s="377"/>
      <c r="C37" s="121"/>
      <c r="D37" s="121"/>
      <c r="E37" s="121"/>
      <c r="F37" s="121"/>
      <c r="G37" s="267"/>
      <c r="H37" s="378"/>
      <c r="I37" s="121"/>
    </row>
    <row r="38" spans="1:9" ht="20.100000000000001" customHeight="1" x14ac:dyDescent="0.25">
      <c r="A38" s="292"/>
      <c r="B38" s="377"/>
      <c r="C38" s="267"/>
      <c r="D38" s="267"/>
      <c r="E38" s="267"/>
      <c r="F38" s="267"/>
      <c r="G38" s="267"/>
      <c r="H38" s="378"/>
      <c r="I38" s="121"/>
    </row>
    <row r="39" spans="1:9" x14ac:dyDescent="0.25">
      <c r="A39" s="377"/>
      <c r="B39" s="377"/>
      <c r="C39" s="121"/>
      <c r="D39" s="121"/>
      <c r="E39" s="121"/>
      <c r="F39" s="121"/>
      <c r="G39" s="267"/>
      <c r="H39" s="378"/>
      <c r="I39" s="121"/>
    </row>
    <row r="40" spans="1:9" x14ac:dyDescent="0.25">
      <c r="A40" s="377"/>
      <c r="B40" s="377"/>
      <c r="C40" s="121"/>
      <c r="D40" s="121"/>
      <c r="E40" s="121"/>
      <c r="F40" s="121"/>
      <c r="G40" s="267"/>
      <c r="H40" s="378"/>
      <c r="I40" s="121"/>
    </row>
    <row r="41" spans="1:9" x14ac:dyDescent="0.25">
      <c r="A41" s="377"/>
      <c r="B41" s="377"/>
      <c r="C41" s="121"/>
      <c r="D41" s="121"/>
      <c r="E41" s="121"/>
      <c r="F41" s="121"/>
      <c r="G41" s="267"/>
      <c r="H41" s="378"/>
      <c r="I41" s="121"/>
    </row>
    <row r="42" spans="1:9" ht="20.100000000000001" customHeight="1" x14ac:dyDescent="0.25">
      <c r="A42" s="292"/>
      <c r="B42" s="377"/>
      <c r="C42" s="267"/>
      <c r="D42" s="267"/>
      <c r="E42" s="267"/>
      <c r="F42" s="267"/>
      <c r="G42" s="267"/>
      <c r="H42" s="378"/>
      <c r="I42" s="121"/>
    </row>
    <row r="43" spans="1:9" x14ac:dyDescent="0.25">
      <c r="A43" s="377"/>
      <c r="B43" s="377"/>
      <c r="C43" s="121"/>
      <c r="D43" s="121"/>
      <c r="E43" s="121"/>
      <c r="F43" s="121"/>
      <c r="G43" s="267"/>
      <c r="H43" s="378"/>
      <c r="I43" s="121"/>
    </row>
    <row r="44" spans="1:9" x14ac:dyDescent="0.25">
      <c r="A44" s="377"/>
      <c r="B44" s="377"/>
      <c r="C44" s="121"/>
      <c r="D44" s="121"/>
      <c r="E44" s="121"/>
      <c r="F44" s="121"/>
      <c r="G44" s="267"/>
      <c r="H44" s="378"/>
      <c r="I44" s="121"/>
    </row>
    <row r="45" spans="1:9" x14ac:dyDescent="0.25">
      <c r="A45" s="377"/>
      <c r="B45" s="377"/>
      <c r="C45" s="121"/>
      <c r="D45" s="121"/>
      <c r="E45" s="121"/>
      <c r="F45" s="121"/>
      <c r="G45" s="267"/>
      <c r="H45" s="378"/>
      <c r="I45" s="121"/>
    </row>
    <row r="46" spans="1:9" ht="20.100000000000001" customHeight="1" x14ac:dyDescent="0.25">
      <c r="A46" s="292"/>
      <c r="B46" s="377"/>
      <c r="C46" s="267"/>
      <c r="D46" s="267"/>
      <c r="E46" s="267"/>
      <c r="F46" s="267"/>
      <c r="G46" s="267"/>
      <c r="H46" s="378"/>
      <c r="I46" s="121"/>
    </row>
    <row r="47" spans="1:9" x14ac:dyDescent="0.25">
      <c r="A47" s="121"/>
      <c r="B47" s="121"/>
      <c r="C47" s="121"/>
      <c r="D47" s="121"/>
      <c r="E47" s="121"/>
      <c r="F47" s="121"/>
      <c r="G47" s="267"/>
      <c r="H47" s="267"/>
      <c r="I47" s="121"/>
    </row>
    <row r="48" spans="1:9" x14ac:dyDescent="0.25">
      <c r="A48" s="121"/>
      <c r="B48" s="121"/>
      <c r="C48" s="121"/>
      <c r="D48" s="121"/>
      <c r="E48" s="121"/>
      <c r="F48" s="121"/>
      <c r="G48" s="267"/>
      <c r="H48" s="121"/>
      <c r="I48" s="121"/>
    </row>
    <row r="49" spans="1:9" x14ac:dyDescent="0.25">
      <c r="A49" s="121"/>
      <c r="B49" s="121"/>
      <c r="C49" s="121"/>
      <c r="D49" s="121"/>
      <c r="E49" s="121"/>
      <c r="F49" s="121"/>
      <c r="G49" s="267"/>
      <c r="H49" s="121"/>
      <c r="I49" s="121"/>
    </row>
    <row r="50" spans="1:9" x14ac:dyDescent="0.25">
      <c r="A50" s="121"/>
      <c r="B50" s="121"/>
      <c r="C50" s="121"/>
      <c r="D50" s="121"/>
      <c r="E50" s="121"/>
      <c r="F50" s="121"/>
      <c r="G50" s="267"/>
      <c r="H50" s="121"/>
      <c r="I50" s="121"/>
    </row>
    <row r="51" spans="1:9" x14ac:dyDescent="0.25">
      <c r="A51" s="121"/>
      <c r="B51" s="121"/>
      <c r="C51" s="121"/>
      <c r="D51" s="121"/>
      <c r="E51" s="121"/>
      <c r="F51" s="121"/>
      <c r="G51" s="267"/>
      <c r="H51" s="121"/>
      <c r="I51" s="121"/>
    </row>
    <row r="52" spans="1:9" x14ac:dyDescent="0.25">
      <c r="A52" s="121"/>
      <c r="B52" s="121"/>
      <c r="C52" s="121"/>
      <c r="D52" s="121"/>
      <c r="E52" s="121"/>
      <c r="F52" s="121"/>
      <c r="G52" s="267"/>
      <c r="H52" s="121"/>
      <c r="I52" s="121"/>
    </row>
    <row r="53" spans="1:9" x14ac:dyDescent="0.25">
      <c r="A53" s="121"/>
      <c r="B53" s="121"/>
      <c r="C53" s="121"/>
      <c r="D53" s="121"/>
      <c r="E53" s="121"/>
      <c r="F53" s="121"/>
      <c r="G53" s="267"/>
      <c r="H53" s="121"/>
      <c r="I53" s="121"/>
    </row>
    <row r="54" spans="1:9" x14ac:dyDescent="0.25">
      <c r="A54" s="121"/>
      <c r="B54" s="121"/>
      <c r="C54" s="121"/>
      <c r="D54" s="121"/>
      <c r="E54" s="121"/>
      <c r="F54" s="121"/>
      <c r="G54" s="267"/>
      <c r="H54" s="121"/>
      <c r="I54" s="121"/>
    </row>
    <row r="55" spans="1:9" x14ac:dyDescent="0.25">
      <c r="A55" s="121"/>
      <c r="B55" s="121"/>
      <c r="C55" s="121"/>
      <c r="D55" s="121"/>
      <c r="E55" s="121"/>
      <c r="F55" s="121"/>
      <c r="G55" s="267"/>
      <c r="H55" s="121"/>
      <c r="I55" s="121"/>
    </row>
    <row r="56" spans="1:9" x14ac:dyDescent="0.25">
      <c r="A56" s="121"/>
      <c r="B56" s="121"/>
      <c r="C56" s="121"/>
      <c r="D56" s="121"/>
      <c r="E56" s="121"/>
      <c r="F56" s="121"/>
      <c r="G56" s="267"/>
      <c r="H56" s="121"/>
      <c r="I56" s="121"/>
    </row>
    <row r="57" spans="1:9" x14ac:dyDescent="0.25">
      <c r="A57" s="121"/>
      <c r="B57" s="121"/>
      <c r="C57" s="121"/>
      <c r="D57" s="121"/>
      <c r="E57" s="121"/>
      <c r="F57" s="121"/>
      <c r="G57" s="267"/>
      <c r="H57" s="121"/>
      <c r="I57" s="121"/>
    </row>
    <row r="58" spans="1:9" x14ac:dyDescent="0.25">
      <c r="A58" s="121"/>
      <c r="B58" s="121"/>
      <c r="C58" s="121"/>
      <c r="D58" s="121"/>
      <c r="E58" s="121"/>
      <c r="F58" s="121"/>
      <c r="G58" s="267"/>
      <c r="H58" s="121"/>
      <c r="I58" s="121"/>
    </row>
    <row r="59" spans="1:9" x14ac:dyDescent="0.25">
      <c r="A59" s="121"/>
      <c r="B59" s="121"/>
      <c r="C59" s="121"/>
      <c r="D59" s="121"/>
      <c r="E59" s="121"/>
      <c r="F59" s="121"/>
      <c r="G59" s="267"/>
      <c r="H59" s="121"/>
      <c r="I59" s="121"/>
    </row>
    <row r="60" spans="1:9" x14ac:dyDescent="0.25">
      <c r="A60" s="121"/>
      <c r="B60" s="121"/>
      <c r="C60" s="121"/>
      <c r="D60" s="121"/>
      <c r="E60" s="121"/>
      <c r="F60" s="121"/>
      <c r="G60" s="267"/>
      <c r="H60" s="121"/>
      <c r="I60" s="121"/>
    </row>
    <row r="61" spans="1:9" x14ac:dyDescent="0.25">
      <c r="A61" s="121"/>
      <c r="B61" s="121"/>
      <c r="C61" s="121"/>
      <c r="D61" s="121"/>
      <c r="E61" s="121"/>
      <c r="F61" s="121"/>
      <c r="G61" s="267"/>
      <c r="H61" s="121"/>
      <c r="I61" s="121"/>
    </row>
    <row r="62" spans="1:9" x14ac:dyDescent="0.25">
      <c r="A62" s="121"/>
      <c r="B62" s="121"/>
      <c r="C62" s="121"/>
      <c r="D62" s="121"/>
      <c r="E62" s="121"/>
      <c r="F62" s="121"/>
      <c r="G62" s="267"/>
      <c r="H62" s="121"/>
      <c r="I62" s="121"/>
    </row>
    <row r="63" spans="1:9" x14ac:dyDescent="0.25">
      <c r="A63" s="121"/>
      <c r="B63" s="121"/>
      <c r="C63" s="121"/>
      <c r="D63" s="121"/>
      <c r="E63" s="121"/>
      <c r="F63" s="121"/>
      <c r="G63" s="267"/>
      <c r="H63" s="121"/>
      <c r="I63" s="121"/>
    </row>
    <row r="64" spans="1:9" x14ac:dyDescent="0.25">
      <c r="A64" s="121"/>
      <c r="B64" s="121"/>
      <c r="C64" s="121"/>
      <c r="D64" s="121"/>
      <c r="E64" s="121"/>
      <c r="F64" s="121"/>
      <c r="G64" s="267"/>
      <c r="H64" s="121"/>
      <c r="I64" s="121"/>
    </row>
    <row r="65" spans="1:9" x14ac:dyDescent="0.25">
      <c r="A65" s="121"/>
      <c r="B65" s="121"/>
      <c r="C65" s="121"/>
      <c r="D65" s="121"/>
      <c r="E65" s="121"/>
      <c r="F65" s="121"/>
      <c r="G65" s="267"/>
      <c r="H65" s="121"/>
      <c r="I65" s="121"/>
    </row>
    <row r="66" spans="1:9" x14ac:dyDescent="0.25">
      <c r="A66" s="121"/>
      <c r="B66" s="121"/>
      <c r="C66" s="121"/>
      <c r="D66" s="121"/>
      <c r="E66" s="121"/>
      <c r="F66" s="121"/>
      <c r="G66" s="267"/>
      <c r="H66" s="121"/>
      <c r="I66" s="121"/>
    </row>
    <row r="67" spans="1:9" x14ac:dyDescent="0.25">
      <c r="A67" s="121"/>
      <c r="B67" s="121"/>
      <c r="C67" s="121"/>
      <c r="D67" s="121"/>
      <c r="E67" s="121"/>
      <c r="F67" s="121"/>
      <c r="G67" s="267"/>
      <c r="H67" s="121"/>
      <c r="I67" s="121"/>
    </row>
    <row r="68" spans="1:9" x14ac:dyDescent="0.25">
      <c r="A68" s="121"/>
      <c r="B68" s="121"/>
      <c r="C68" s="121"/>
      <c r="D68" s="121"/>
      <c r="E68" s="121"/>
      <c r="F68" s="121"/>
      <c r="G68" s="267"/>
      <c r="H68" s="121"/>
      <c r="I68" s="121"/>
    </row>
    <row r="69" spans="1:9" x14ac:dyDescent="0.25">
      <c r="A69" s="121"/>
      <c r="B69" s="121"/>
      <c r="C69" s="121"/>
      <c r="D69" s="121"/>
      <c r="E69" s="121"/>
      <c r="F69" s="121"/>
      <c r="G69" s="267"/>
      <c r="H69" s="121"/>
      <c r="I69" s="121"/>
    </row>
    <row r="70" spans="1:9" x14ac:dyDescent="0.25">
      <c r="A70" s="121"/>
      <c r="B70" s="121"/>
      <c r="C70" s="121"/>
      <c r="D70" s="121"/>
      <c r="E70" s="121"/>
      <c r="F70" s="121"/>
      <c r="G70" s="267"/>
      <c r="H70" s="121"/>
      <c r="I70" s="121"/>
    </row>
    <row r="71" spans="1:9" x14ac:dyDescent="0.25">
      <c r="A71" s="121"/>
      <c r="B71" s="121"/>
      <c r="C71" s="121"/>
      <c r="D71" s="121"/>
      <c r="E71" s="121"/>
      <c r="F71" s="121"/>
      <c r="G71" s="267"/>
      <c r="H71" s="121"/>
      <c r="I71" s="121"/>
    </row>
    <row r="72" spans="1:9" x14ac:dyDescent="0.25">
      <c r="A72" s="121"/>
      <c r="B72" s="121"/>
      <c r="C72" s="121"/>
      <c r="D72" s="121"/>
      <c r="E72" s="121"/>
      <c r="F72" s="121"/>
      <c r="G72" s="267"/>
      <c r="H72" s="121"/>
      <c r="I72" s="121"/>
    </row>
    <row r="73" spans="1:9" x14ac:dyDescent="0.25">
      <c r="A73" s="121"/>
      <c r="B73" s="121"/>
      <c r="C73" s="121"/>
      <c r="D73" s="121"/>
      <c r="E73" s="121"/>
      <c r="F73" s="121"/>
      <c r="G73" s="267"/>
      <c r="H73" s="121"/>
      <c r="I73" s="121"/>
    </row>
    <row r="74" spans="1:9" x14ac:dyDescent="0.25">
      <c r="A74" s="121"/>
      <c r="B74" s="121"/>
      <c r="C74" s="121"/>
      <c r="D74" s="121"/>
      <c r="E74" s="121"/>
      <c r="F74" s="121"/>
      <c r="G74" s="267"/>
      <c r="H74" s="121"/>
      <c r="I74" s="121"/>
    </row>
    <row r="75" spans="1:9" x14ac:dyDescent="0.25">
      <c r="A75" s="121"/>
      <c r="B75" s="121"/>
      <c r="C75" s="121"/>
      <c r="D75" s="121"/>
      <c r="E75" s="121"/>
      <c r="F75" s="121"/>
      <c r="G75" s="267"/>
      <c r="H75" s="121"/>
      <c r="I75" s="121"/>
    </row>
    <row r="76" spans="1:9" x14ac:dyDescent="0.25">
      <c r="A76" s="121"/>
      <c r="B76" s="121"/>
      <c r="C76" s="121"/>
      <c r="D76" s="121"/>
      <c r="E76" s="121"/>
      <c r="F76" s="121"/>
      <c r="G76" s="267"/>
      <c r="H76" s="121"/>
      <c r="I76" s="121"/>
    </row>
    <row r="77" spans="1:9" x14ac:dyDescent="0.25">
      <c r="A77" s="121"/>
      <c r="B77" s="121"/>
      <c r="C77" s="121"/>
      <c r="D77" s="121"/>
      <c r="E77" s="121"/>
      <c r="F77" s="121"/>
      <c r="G77" s="267"/>
      <c r="H77" s="121"/>
      <c r="I77" s="121"/>
    </row>
    <row r="78" spans="1:9" x14ac:dyDescent="0.25">
      <c r="A78" s="121"/>
      <c r="B78" s="121"/>
      <c r="C78" s="121"/>
      <c r="D78" s="121"/>
      <c r="E78" s="121"/>
      <c r="F78" s="121"/>
      <c r="G78" s="267"/>
      <c r="H78" s="121"/>
      <c r="I78" s="121"/>
    </row>
    <row r="79" spans="1:9" x14ac:dyDescent="0.25">
      <c r="A79" s="121"/>
      <c r="B79" s="121"/>
      <c r="C79" s="121"/>
      <c r="D79" s="121"/>
      <c r="E79" s="121"/>
      <c r="F79" s="121"/>
      <c r="G79" s="267"/>
      <c r="H79" s="121"/>
      <c r="I79" s="121"/>
    </row>
    <row r="80" spans="1:9" x14ac:dyDescent="0.25">
      <c r="A80" s="121"/>
      <c r="B80" s="121"/>
      <c r="C80" s="121"/>
      <c r="D80" s="121"/>
      <c r="E80" s="121"/>
      <c r="F80" s="121"/>
      <c r="G80" s="267"/>
      <c r="H80" s="121"/>
      <c r="I80" s="121"/>
    </row>
    <row r="81" spans="1:9" x14ac:dyDescent="0.25">
      <c r="A81" s="121"/>
      <c r="B81" s="121"/>
      <c r="C81" s="121"/>
      <c r="D81" s="121"/>
      <c r="E81" s="121"/>
      <c r="F81" s="121"/>
      <c r="G81" s="267"/>
      <c r="H81" s="121"/>
      <c r="I81" s="121"/>
    </row>
    <row r="82" spans="1:9" x14ac:dyDescent="0.25">
      <c r="A82" s="121"/>
      <c r="B82" s="121"/>
      <c r="C82" s="121"/>
      <c r="D82" s="121"/>
      <c r="E82" s="121"/>
      <c r="F82" s="121"/>
      <c r="G82" s="267"/>
      <c r="H82" s="121"/>
      <c r="I82" s="121"/>
    </row>
    <row r="83" spans="1:9" x14ac:dyDescent="0.25">
      <c r="A83" s="121"/>
      <c r="B83" s="121"/>
      <c r="C83" s="121"/>
      <c r="D83" s="121"/>
      <c r="E83" s="121"/>
      <c r="F83" s="121"/>
      <c r="G83" s="267"/>
      <c r="H83" s="121"/>
      <c r="I83" s="121"/>
    </row>
    <row r="84" spans="1:9" x14ac:dyDescent="0.25">
      <c r="A84" s="121"/>
      <c r="B84" s="121"/>
      <c r="C84" s="121"/>
      <c r="D84" s="121"/>
      <c r="E84" s="121"/>
      <c r="F84" s="121"/>
      <c r="G84" s="267"/>
      <c r="H84" s="121"/>
      <c r="I84" s="121"/>
    </row>
    <row r="85" spans="1:9" x14ac:dyDescent="0.25">
      <c r="A85" s="121"/>
      <c r="B85" s="121"/>
      <c r="C85" s="121"/>
      <c r="D85" s="121"/>
      <c r="E85" s="121"/>
      <c r="F85" s="121"/>
      <c r="G85" s="267"/>
      <c r="H85" s="121"/>
      <c r="I85" s="121"/>
    </row>
    <row r="86" spans="1:9" x14ac:dyDescent="0.25">
      <c r="A86" s="121"/>
      <c r="B86" s="121"/>
      <c r="C86" s="121"/>
      <c r="D86" s="121"/>
      <c r="E86" s="121"/>
      <c r="F86" s="121"/>
      <c r="G86" s="267"/>
      <c r="H86" s="121"/>
      <c r="I86" s="121"/>
    </row>
    <row r="87" spans="1:9" x14ac:dyDescent="0.25">
      <c r="A87" s="121"/>
      <c r="B87" s="121"/>
      <c r="C87" s="121"/>
      <c r="D87" s="121"/>
      <c r="E87" s="121"/>
      <c r="F87" s="121"/>
      <c r="G87" s="267"/>
      <c r="H87" s="121"/>
      <c r="I87" s="121"/>
    </row>
    <row r="88" spans="1:9" x14ac:dyDescent="0.25">
      <c r="A88" s="121"/>
      <c r="B88" s="121"/>
      <c r="C88" s="121"/>
      <c r="D88" s="121"/>
      <c r="E88" s="121"/>
      <c r="F88" s="121"/>
      <c r="G88" s="267"/>
      <c r="H88" s="121"/>
      <c r="I88" s="121"/>
    </row>
    <row r="89" spans="1:9" x14ac:dyDescent="0.25">
      <c r="A89" s="121"/>
      <c r="B89" s="121"/>
      <c r="C89" s="121"/>
      <c r="D89" s="121"/>
      <c r="E89" s="121"/>
      <c r="F89" s="121"/>
      <c r="G89" s="267"/>
      <c r="H89" s="121"/>
      <c r="I89" s="121"/>
    </row>
    <row r="90" spans="1:9" x14ac:dyDescent="0.25">
      <c r="A90" s="121"/>
      <c r="B90" s="121"/>
      <c r="C90" s="121"/>
      <c r="D90" s="121"/>
      <c r="E90" s="121"/>
      <c r="F90" s="121"/>
      <c r="G90" s="267"/>
      <c r="H90" s="121"/>
      <c r="I90" s="121"/>
    </row>
    <row r="91" spans="1:9" x14ac:dyDescent="0.25">
      <c r="A91" s="121"/>
      <c r="B91" s="121"/>
      <c r="C91" s="121"/>
      <c r="D91" s="121"/>
      <c r="E91" s="121"/>
      <c r="F91" s="121"/>
      <c r="G91" s="267"/>
      <c r="H91" s="121"/>
      <c r="I91" s="121"/>
    </row>
    <row r="92" spans="1:9" x14ac:dyDescent="0.25">
      <c r="A92" s="121"/>
      <c r="B92" s="121"/>
      <c r="C92" s="121"/>
      <c r="D92" s="121"/>
      <c r="E92" s="121"/>
      <c r="F92" s="121"/>
      <c r="G92" s="267"/>
      <c r="H92" s="121"/>
      <c r="I92" s="121"/>
    </row>
    <row r="93" spans="1:9" x14ac:dyDescent="0.25">
      <c r="A93" s="121"/>
      <c r="B93" s="121"/>
      <c r="C93" s="121"/>
      <c r="D93" s="121"/>
      <c r="E93" s="121"/>
      <c r="F93" s="121"/>
      <c r="G93" s="267"/>
      <c r="H93" s="121"/>
      <c r="I93" s="121"/>
    </row>
    <row r="94" spans="1:9" x14ac:dyDescent="0.25">
      <c r="A94" s="121"/>
      <c r="B94" s="121"/>
      <c r="C94" s="121"/>
      <c r="D94" s="121"/>
      <c r="E94" s="121"/>
      <c r="F94" s="121"/>
      <c r="G94" s="267"/>
      <c r="H94" s="121"/>
      <c r="I94" s="121"/>
    </row>
    <row r="95" spans="1:9" x14ac:dyDescent="0.25">
      <c r="A95" s="121"/>
      <c r="B95" s="121"/>
      <c r="C95" s="121"/>
      <c r="D95" s="121"/>
      <c r="E95" s="121"/>
      <c r="F95" s="121"/>
      <c r="G95" s="267"/>
      <c r="H95" s="121"/>
      <c r="I95" s="121"/>
    </row>
    <row r="96" spans="1:9" x14ac:dyDescent="0.25">
      <c r="A96" s="121"/>
      <c r="B96" s="121"/>
      <c r="C96" s="121"/>
      <c r="D96" s="121"/>
      <c r="E96" s="121"/>
      <c r="F96" s="121"/>
      <c r="G96" s="267"/>
      <c r="H96" s="121"/>
      <c r="I96" s="121"/>
    </row>
    <row r="97" spans="1:9" x14ac:dyDescent="0.25">
      <c r="A97" s="121"/>
      <c r="B97" s="121"/>
      <c r="C97" s="121"/>
      <c r="D97" s="121"/>
      <c r="E97" s="121"/>
      <c r="F97" s="121"/>
      <c r="G97" s="267"/>
      <c r="H97" s="121"/>
      <c r="I97" s="121"/>
    </row>
  </sheetData>
  <customSheetViews>
    <customSheetView guid="{0224233B-564D-4BBC-A6B2-E639E6D2CFB3}" showPageBreaks="1" fitToPage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scale="90" orientation="portrait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mergeCells count="2">
    <mergeCell ref="A11:B11"/>
    <mergeCell ref="A12:B12"/>
  </mergeCells>
  <phoneticPr fontId="2" type="noConversion"/>
  <hyperlinks>
    <hyperlink ref="K1" location="Übersicht!A1" display="zurück zur Übersicht!"/>
  </hyperlinks>
  <printOptions horizontalCentered="1" verticalCentered="1"/>
  <pageMargins left="0.39370078740157483" right="0.39370078740157483" top="0.98425196850393704" bottom="0.39370078740157483" header="0.78740157480314965" footer="0"/>
  <pageSetup paperSize="9" scale="54" orientation="landscape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view="pageLayout" zoomScaleNormal="110" zoomScaleSheetLayoutView="100" workbookViewId="0"/>
  </sheetViews>
  <sheetFormatPr baseColWidth="10" defaultRowHeight="13.5" x14ac:dyDescent="0.25"/>
  <cols>
    <col min="1" max="1" width="22.42578125" style="3" bestFit="1" customWidth="1"/>
    <col min="2" max="15" width="7.28515625" style="3" customWidth="1"/>
    <col min="16" max="16384" width="11.42578125" style="3"/>
  </cols>
  <sheetData>
    <row r="1" spans="1:17" ht="15.75" x14ac:dyDescent="0.25">
      <c r="A1" s="312" t="s">
        <v>333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>
      <c r="F4" s="267"/>
    </row>
    <row r="5" spans="1:17" ht="97.5" x14ac:dyDescent="0.25">
      <c r="A5" s="388" t="s">
        <v>184</v>
      </c>
      <c r="B5" s="389" t="s">
        <v>102</v>
      </c>
      <c r="C5" s="389" t="s">
        <v>103</v>
      </c>
      <c r="D5" s="389" t="s">
        <v>104</v>
      </c>
      <c r="E5" s="390" t="s">
        <v>105</v>
      </c>
      <c r="F5" s="391" t="s">
        <v>106</v>
      </c>
      <c r="G5" s="392" t="s">
        <v>107</v>
      </c>
      <c r="H5" s="391" t="s">
        <v>108</v>
      </c>
      <c r="I5" s="393" t="s">
        <v>109</v>
      </c>
      <c r="J5" s="389" t="s">
        <v>110</v>
      </c>
      <c r="K5" s="389" t="s">
        <v>111</v>
      </c>
      <c r="L5" s="390" t="s">
        <v>112</v>
      </c>
      <c r="M5" s="391" t="s">
        <v>113</v>
      </c>
      <c r="N5" s="394" t="s">
        <v>114</v>
      </c>
      <c r="O5" s="391" t="s">
        <v>115</v>
      </c>
    </row>
    <row r="6" spans="1:17" x14ac:dyDescent="0.25">
      <c r="A6" s="155" t="s">
        <v>185</v>
      </c>
      <c r="B6" s="150">
        <v>0</v>
      </c>
      <c r="C6" s="150">
        <v>0</v>
      </c>
      <c r="D6" s="150">
        <v>0</v>
      </c>
      <c r="E6" s="332">
        <v>0</v>
      </c>
      <c r="F6" s="317">
        <f t="shared" ref="F6:F27" si="0">SUM(B6:E6)</f>
        <v>0</v>
      </c>
      <c r="G6" s="395">
        <v>0</v>
      </c>
      <c r="H6" s="335">
        <f t="shared" ref="H6:H27" si="1">SUM(F6:G6)</f>
        <v>0</v>
      </c>
      <c r="I6" s="197">
        <v>0</v>
      </c>
      <c r="J6" s="150">
        <v>0</v>
      </c>
      <c r="K6" s="150">
        <v>0</v>
      </c>
      <c r="L6" s="332">
        <v>0</v>
      </c>
      <c r="M6" s="335">
        <f>SUM(H6,I6,J6,K6,L6)</f>
        <v>0</v>
      </c>
      <c r="N6" s="395">
        <v>0</v>
      </c>
      <c r="O6" s="335">
        <f>SUM(M6,N6)</f>
        <v>0</v>
      </c>
    </row>
    <row r="7" spans="1:17" x14ac:dyDescent="0.25">
      <c r="A7" s="155" t="s">
        <v>23</v>
      </c>
      <c r="B7" s="150">
        <v>0</v>
      </c>
      <c r="C7" s="150">
        <v>0</v>
      </c>
      <c r="D7" s="150">
        <v>0</v>
      </c>
      <c r="E7" s="332">
        <v>0</v>
      </c>
      <c r="F7" s="317">
        <f t="shared" si="0"/>
        <v>0</v>
      </c>
      <c r="G7" s="395">
        <v>0</v>
      </c>
      <c r="H7" s="335">
        <f t="shared" si="1"/>
        <v>0</v>
      </c>
      <c r="I7" s="197">
        <v>0</v>
      </c>
      <c r="J7" s="150">
        <v>0</v>
      </c>
      <c r="K7" s="150">
        <v>0</v>
      </c>
      <c r="L7" s="329">
        <v>0</v>
      </c>
      <c r="M7" s="335">
        <f t="shared" ref="M7:M27" si="2">SUM(H7,I7,J7,K7,L7)</f>
        <v>0</v>
      </c>
      <c r="N7" s="395">
        <v>0</v>
      </c>
      <c r="O7" s="335">
        <f t="shared" ref="O7:O27" si="3">SUM(M7,N7)</f>
        <v>0</v>
      </c>
    </row>
    <row r="8" spans="1:17" x14ac:dyDescent="0.25">
      <c r="A8" s="155" t="s">
        <v>186</v>
      </c>
      <c r="B8" s="308">
        <v>0</v>
      </c>
      <c r="C8" s="308">
        <v>0</v>
      </c>
      <c r="D8" s="308">
        <v>0</v>
      </c>
      <c r="E8" s="329">
        <v>1</v>
      </c>
      <c r="F8" s="317">
        <f t="shared" si="0"/>
        <v>1</v>
      </c>
      <c r="G8" s="338">
        <v>0</v>
      </c>
      <c r="H8" s="335">
        <f t="shared" si="1"/>
        <v>1</v>
      </c>
      <c r="I8" s="330">
        <v>0</v>
      </c>
      <c r="J8" s="308">
        <v>0</v>
      </c>
      <c r="K8" s="308">
        <v>0</v>
      </c>
      <c r="L8" s="329">
        <v>0</v>
      </c>
      <c r="M8" s="335">
        <f t="shared" si="2"/>
        <v>1</v>
      </c>
      <c r="N8" s="338">
        <v>0</v>
      </c>
      <c r="O8" s="335">
        <f t="shared" si="3"/>
        <v>1</v>
      </c>
    </row>
    <row r="9" spans="1:17" ht="14.25" thickBot="1" x14ac:dyDescent="0.3">
      <c r="A9" s="396" t="s">
        <v>291</v>
      </c>
      <c r="B9" s="150">
        <v>0</v>
      </c>
      <c r="C9" s="150">
        <v>0</v>
      </c>
      <c r="D9" s="150">
        <v>0</v>
      </c>
      <c r="E9" s="332">
        <v>0</v>
      </c>
      <c r="F9" s="317">
        <f t="shared" si="0"/>
        <v>0</v>
      </c>
      <c r="G9" s="395">
        <v>0</v>
      </c>
      <c r="H9" s="335">
        <f t="shared" si="1"/>
        <v>0</v>
      </c>
      <c r="I9" s="197">
        <v>0</v>
      </c>
      <c r="J9" s="150">
        <v>0</v>
      </c>
      <c r="K9" s="150">
        <v>0</v>
      </c>
      <c r="L9" s="332">
        <v>0</v>
      </c>
      <c r="M9" s="335">
        <f>SUM(H9,I9,J9,K9,L9)</f>
        <v>0</v>
      </c>
      <c r="N9" s="395">
        <v>0</v>
      </c>
      <c r="O9" s="397">
        <f t="shared" si="3"/>
        <v>0</v>
      </c>
    </row>
    <row r="10" spans="1:17" ht="14.25" thickBot="1" x14ac:dyDescent="0.3">
      <c r="A10" s="178" t="s">
        <v>25</v>
      </c>
      <c r="B10" s="184">
        <f>SUM(B6:B9)</f>
        <v>0</v>
      </c>
      <c r="C10" s="184">
        <f t="shared" ref="C10:I10" si="4">SUM(C6:C9)</f>
        <v>0</v>
      </c>
      <c r="D10" s="184">
        <f t="shared" si="4"/>
        <v>0</v>
      </c>
      <c r="E10" s="249">
        <f t="shared" si="4"/>
        <v>1</v>
      </c>
      <c r="F10" s="345">
        <f t="shared" si="0"/>
        <v>1</v>
      </c>
      <c r="G10" s="337">
        <f t="shared" si="4"/>
        <v>0</v>
      </c>
      <c r="H10" s="319">
        <f t="shared" si="1"/>
        <v>1</v>
      </c>
      <c r="I10" s="204">
        <f t="shared" si="4"/>
        <v>0</v>
      </c>
      <c r="J10" s="184">
        <f>SUM(J6:J9)</f>
        <v>0</v>
      </c>
      <c r="K10" s="184">
        <f>SUM(K6:K9)</f>
        <v>0</v>
      </c>
      <c r="L10" s="249">
        <f>SUM(L6:L9)</f>
        <v>0</v>
      </c>
      <c r="M10" s="319">
        <f t="shared" si="2"/>
        <v>1</v>
      </c>
      <c r="N10" s="337">
        <f>SUM(N6:N9)</f>
        <v>0</v>
      </c>
      <c r="O10" s="319">
        <f t="shared" si="3"/>
        <v>1</v>
      </c>
    </row>
    <row r="11" spans="1:17" hidden="1" x14ac:dyDescent="0.25">
      <c r="A11" s="800" t="s">
        <v>26</v>
      </c>
      <c r="B11" s="660"/>
      <c r="C11" s="660"/>
      <c r="D11" s="660"/>
      <c r="E11" s="790"/>
      <c r="F11" s="789"/>
      <c r="G11" s="795"/>
      <c r="H11" s="794"/>
      <c r="I11" s="791"/>
      <c r="J11" s="660"/>
      <c r="K11" s="660"/>
      <c r="L11" s="790"/>
      <c r="M11" s="794"/>
      <c r="N11" s="795"/>
      <c r="O11" s="801"/>
    </row>
    <row r="12" spans="1:17" x14ac:dyDescent="0.25">
      <c r="A12" s="155" t="s">
        <v>187</v>
      </c>
      <c r="B12" s="150">
        <v>0</v>
      </c>
      <c r="C12" s="150">
        <v>0</v>
      </c>
      <c r="D12" s="150">
        <v>0</v>
      </c>
      <c r="E12" s="332">
        <v>0</v>
      </c>
      <c r="F12" s="317">
        <f t="shared" si="0"/>
        <v>0</v>
      </c>
      <c r="G12" s="395">
        <v>0</v>
      </c>
      <c r="H12" s="335">
        <f t="shared" si="1"/>
        <v>0</v>
      </c>
      <c r="I12" s="197">
        <v>0</v>
      </c>
      <c r="J12" s="150">
        <v>0</v>
      </c>
      <c r="K12" s="150">
        <v>0</v>
      </c>
      <c r="L12" s="332">
        <v>0</v>
      </c>
      <c r="M12" s="335">
        <f>SUM(H12,I12,J12,K12,L12)</f>
        <v>0</v>
      </c>
      <c r="N12" s="395">
        <v>0</v>
      </c>
      <c r="O12" s="335">
        <f t="shared" si="3"/>
        <v>0</v>
      </c>
    </row>
    <row r="13" spans="1:17" x14ac:dyDescent="0.25">
      <c r="A13" s="155" t="s">
        <v>28</v>
      </c>
      <c r="B13" s="150">
        <v>0</v>
      </c>
      <c r="C13" s="150">
        <v>0</v>
      </c>
      <c r="D13" s="150">
        <v>0</v>
      </c>
      <c r="E13" s="332">
        <v>0</v>
      </c>
      <c r="F13" s="317">
        <f t="shared" si="0"/>
        <v>0</v>
      </c>
      <c r="G13" s="395">
        <v>0</v>
      </c>
      <c r="H13" s="335">
        <f t="shared" si="1"/>
        <v>0</v>
      </c>
      <c r="I13" s="197">
        <v>0</v>
      </c>
      <c r="J13" s="150">
        <v>0</v>
      </c>
      <c r="K13" s="150">
        <v>0</v>
      </c>
      <c r="L13" s="332">
        <v>0</v>
      </c>
      <c r="M13" s="335">
        <f>SUM(H13,I13,J13,K13,L13)</f>
        <v>0</v>
      </c>
      <c r="N13" s="395">
        <v>0</v>
      </c>
      <c r="O13" s="335">
        <f>SUM(M13,N13)</f>
        <v>0</v>
      </c>
    </row>
    <row r="14" spans="1:17" x14ac:dyDescent="0.25">
      <c r="A14" s="155" t="s">
        <v>29</v>
      </c>
      <c r="B14" s="150">
        <v>0</v>
      </c>
      <c r="C14" s="150">
        <v>1</v>
      </c>
      <c r="D14" s="150">
        <v>0</v>
      </c>
      <c r="E14" s="332">
        <v>0</v>
      </c>
      <c r="F14" s="317">
        <f t="shared" si="0"/>
        <v>1</v>
      </c>
      <c r="G14" s="395">
        <v>0</v>
      </c>
      <c r="H14" s="335">
        <f t="shared" si="1"/>
        <v>1</v>
      </c>
      <c r="I14" s="197">
        <v>0</v>
      </c>
      <c r="J14" s="150">
        <v>0</v>
      </c>
      <c r="K14" s="150">
        <v>0</v>
      </c>
      <c r="L14" s="332">
        <v>0</v>
      </c>
      <c r="M14" s="335">
        <f t="shared" si="2"/>
        <v>1</v>
      </c>
      <c r="N14" s="395">
        <v>0</v>
      </c>
      <c r="O14" s="335">
        <f t="shared" si="3"/>
        <v>1</v>
      </c>
    </row>
    <row r="15" spans="1:17" x14ac:dyDescent="0.25">
      <c r="A15" s="155" t="s">
        <v>188</v>
      </c>
      <c r="B15" s="150">
        <v>14</v>
      </c>
      <c r="C15" s="150">
        <v>0</v>
      </c>
      <c r="D15" s="150">
        <v>1</v>
      </c>
      <c r="E15" s="332">
        <v>0</v>
      </c>
      <c r="F15" s="317">
        <f t="shared" si="0"/>
        <v>15</v>
      </c>
      <c r="G15" s="395">
        <v>0</v>
      </c>
      <c r="H15" s="335">
        <f t="shared" si="1"/>
        <v>15</v>
      </c>
      <c r="I15" s="197">
        <v>0</v>
      </c>
      <c r="J15" s="150">
        <v>0</v>
      </c>
      <c r="K15" s="150">
        <v>0</v>
      </c>
      <c r="L15" s="332">
        <v>0</v>
      </c>
      <c r="M15" s="335">
        <f>SUM(H15,I15,J15,K15,L15)</f>
        <v>15</v>
      </c>
      <c r="N15" s="395">
        <v>0</v>
      </c>
      <c r="O15" s="335">
        <f>SUM(M15,N15)</f>
        <v>15</v>
      </c>
    </row>
    <row r="16" spans="1:17" ht="14.25" thickBot="1" x14ac:dyDescent="0.3">
      <c r="A16" s="169" t="s">
        <v>292</v>
      </c>
      <c r="B16" s="399">
        <v>0</v>
      </c>
      <c r="C16" s="399">
        <v>0</v>
      </c>
      <c r="D16" s="399">
        <v>0</v>
      </c>
      <c r="E16" s="325">
        <v>0</v>
      </c>
      <c r="F16" s="400">
        <f>SUM(B16:E16)</f>
        <v>0</v>
      </c>
      <c r="G16" s="401">
        <v>0</v>
      </c>
      <c r="H16" s="397">
        <f t="shared" si="1"/>
        <v>0</v>
      </c>
      <c r="I16" s="324">
        <v>0</v>
      </c>
      <c r="J16" s="399">
        <v>0</v>
      </c>
      <c r="K16" s="399">
        <v>0</v>
      </c>
      <c r="L16" s="325">
        <v>0</v>
      </c>
      <c r="M16" s="397">
        <f>SUM(H16,I16,J16,K16,L16)</f>
        <v>0</v>
      </c>
      <c r="N16" s="401">
        <v>0</v>
      </c>
      <c r="O16" s="397">
        <f t="shared" si="3"/>
        <v>0</v>
      </c>
    </row>
    <row r="17" spans="1:15" ht="14.25" thickBot="1" x14ac:dyDescent="0.3">
      <c r="A17" s="187" t="s">
        <v>30</v>
      </c>
      <c r="B17" s="184">
        <f>SUM(B11:B16)</f>
        <v>14</v>
      </c>
      <c r="C17" s="184">
        <f t="shared" ref="C17:I17" si="5">SUM(C11:C16)</f>
        <v>1</v>
      </c>
      <c r="D17" s="184">
        <f t="shared" si="5"/>
        <v>1</v>
      </c>
      <c r="E17" s="249">
        <f t="shared" si="5"/>
        <v>0</v>
      </c>
      <c r="F17" s="345">
        <f t="shared" si="0"/>
        <v>16</v>
      </c>
      <c r="G17" s="337">
        <f t="shared" si="5"/>
        <v>0</v>
      </c>
      <c r="H17" s="319">
        <f t="shared" si="1"/>
        <v>16</v>
      </c>
      <c r="I17" s="204">
        <f t="shared" si="5"/>
        <v>0</v>
      </c>
      <c r="J17" s="184">
        <f>SUM(J11:J16)</f>
        <v>0</v>
      </c>
      <c r="K17" s="184">
        <f>SUM(K11:K16)</f>
        <v>0</v>
      </c>
      <c r="L17" s="249">
        <f>SUM(L11:L16)</f>
        <v>0</v>
      </c>
      <c r="M17" s="319">
        <f t="shared" si="2"/>
        <v>16</v>
      </c>
      <c r="N17" s="337">
        <f>SUM(N11:N16)</f>
        <v>0</v>
      </c>
      <c r="O17" s="319">
        <f t="shared" si="3"/>
        <v>16</v>
      </c>
    </row>
    <row r="18" spans="1:15" x14ac:dyDescent="0.25">
      <c r="A18" s="232" t="s">
        <v>317</v>
      </c>
      <c r="B18" s="150">
        <v>0</v>
      </c>
      <c r="C18" s="150">
        <v>0</v>
      </c>
      <c r="D18" s="150">
        <v>0</v>
      </c>
      <c r="E18" s="332">
        <v>0</v>
      </c>
      <c r="F18" s="317">
        <f t="shared" si="0"/>
        <v>0</v>
      </c>
      <c r="G18" s="395">
        <v>0</v>
      </c>
      <c r="H18" s="335">
        <f t="shared" si="1"/>
        <v>0</v>
      </c>
      <c r="I18" s="197">
        <v>0</v>
      </c>
      <c r="J18" s="150">
        <v>0</v>
      </c>
      <c r="K18" s="150">
        <v>0</v>
      </c>
      <c r="L18" s="332">
        <v>0</v>
      </c>
      <c r="M18" s="335">
        <f>SUM(H18,I18,J18,K18,L18)</f>
        <v>0</v>
      </c>
      <c r="N18" s="395">
        <v>0</v>
      </c>
      <c r="O18" s="398">
        <f t="shared" si="3"/>
        <v>0</v>
      </c>
    </row>
    <row r="19" spans="1:15" x14ac:dyDescent="0.25">
      <c r="A19" s="148" t="s">
        <v>316</v>
      </c>
      <c r="B19" s="150">
        <v>0</v>
      </c>
      <c r="C19" s="150">
        <v>0</v>
      </c>
      <c r="D19" s="150">
        <v>0</v>
      </c>
      <c r="E19" s="332">
        <v>0</v>
      </c>
      <c r="F19" s="317">
        <f t="shared" si="0"/>
        <v>0</v>
      </c>
      <c r="G19" s="395">
        <v>0</v>
      </c>
      <c r="H19" s="335">
        <f t="shared" si="1"/>
        <v>0</v>
      </c>
      <c r="I19" s="197">
        <v>0</v>
      </c>
      <c r="J19" s="150">
        <v>0</v>
      </c>
      <c r="K19" s="150">
        <v>0</v>
      </c>
      <c r="L19" s="332">
        <v>0</v>
      </c>
      <c r="M19" s="335">
        <f>SUM(H19,I19,J19,K19,L19)</f>
        <v>0</v>
      </c>
      <c r="N19" s="395">
        <v>0</v>
      </c>
      <c r="O19" s="335">
        <f t="shared" si="3"/>
        <v>0</v>
      </c>
    </row>
    <row r="20" spans="1:15" x14ac:dyDescent="0.25">
      <c r="A20" s="155" t="s">
        <v>289</v>
      </c>
      <c r="B20" s="150">
        <v>0</v>
      </c>
      <c r="C20" s="150">
        <v>0</v>
      </c>
      <c r="D20" s="150">
        <v>0</v>
      </c>
      <c r="E20" s="332">
        <v>0</v>
      </c>
      <c r="F20" s="317">
        <f t="shared" si="0"/>
        <v>0</v>
      </c>
      <c r="G20" s="395">
        <v>0</v>
      </c>
      <c r="H20" s="335">
        <f t="shared" si="1"/>
        <v>0</v>
      </c>
      <c r="I20" s="197">
        <v>0</v>
      </c>
      <c r="J20" s="150">
        <v>0</v>
      </c>
      <c r="K20" s="150">
        <v>0</v>
      </c>
      <c r="L20" s="332">
        <v>0</v>
      </c>
      <c r="M20" s="335">
        <f>SUM(H20,I20,J20,K20,L20)</f>
        <v>0</v>
      </c>
      <c r="N20" s="395">
        <v>0</v>
      </c>
      <c r="O20" s="335">
        <f t="shared" si="3"/>
        <v>0</v>
      </c>
    </row>
    <row r="21" spans="1:15" x14ac:dyDescent="0.25">
      <c r="A21" s="155" t="s">
        <v>290</v>
      </c>
      <c r="B21" s="150">
        <v>0</v>
      </c>
      <c r="C21" s="150">
        <v>0</v>
      </c>
      <c r="D21" s="150">
        <v>0</v>
      </c>
      <c r="E21" s="332">
        <v>0</v>
      </c>
      <c r="F21" s="317">
        <f t="shared" si="0"/>
        <v>0</v>
      </c>
      <c r="G21" s="395">
        <v>1</v>
      </c>
      <c r="H21" s="335">
        <f t="shared" si="1"/>
        <v>1</v>
      </c>
      <c r="I21" s="197">
        <v>0</v>
      </c>
      <c r="J21" s="150">
        <v>0</v>
      </c>
      <c r="K21" s="150">
        <v>0</v>
      </c>
      <c r="L21" s="332">
        <v>0</v>
      </c>
      <c r="M21" s="335">
        <f>SUM(H21,I21,J21,K21,L21)</f>
        <v>1</v>
      </c>
      <c r="N21" s="395">
        <v>0</v>
      </c>
      <c r="O21" s="335">
        <f>SUM(M21,N21)</f>
        <v>1</v>
      </c>
    </row>
    <row r="22" spans="1:15" ht="14.25" thickBot="1" x14ac:dyDescent="0.3">
      <c r="A22" s="326" t="s">
        <v>51</v>
      </c>
      <c r="B22" s="150">
        <v>0</v>
      </c>
      <c r="C22" s="150">
        <v>0</v>
      </c>
      <c r="D22" s="150">
        <v>0</v>
      </c>
      <c r="E22" s="332">
        <v>0</v>
      </c>
      <c r="F22" s="317">
        <f t="shared" si="0"/>
        <v>0</v>
      </c>
      <c r="G22" s="395">
        <v>0</v>
      </c>
      <c r="H22" s="335">
        <f t="shared" si="1"/>
        <v>0</v>
      </c>
      <c r="I22" s="197">
        <v>0</v>
      </c>
      <c r="J22" s="150">
        <v>1</v>
      </c>
      <c r="K22" s="150">
        <v>0</v>
      </c>
      <c r="L22" s="332">
        <v>0</v>
      </c>
      <c r="M22" s="335">
        <f>SUM(H22,I22,J22,K22,L22)</f>
        <v>1</v>
      </c>
      <c r="N22" s="395">
        <v>0</v>
      </c>
      <c r="O22" s="335">
        <f>SUM(M22,N22)</f>
        <v>1</v>
      </c>
    </row>
    <row r="23" spans="1:15" ht="14.25" thickBot="1" x14ac:dyDescent="0.3">
      <c r="A23" s="187" t="s">
        <v>31</v>
      </c>
      <c r="B23" s="184">
        <f>SUM(B18:B22)</f>
        <v>0</v>
      </c>
      <c r="C23" s="184">
        <f t="shared" ref="C23:I23" si="6">SUM(C18:C22)</f>
        <v>0</v>
      </c>
      <c r="D23" s="184">
        <f t="shared" si="6"/>
        <v>0</v>
      </c>
      <c r="E23" s="249">
        <f t="shared" si="6"/>
        <v>0</v>
      </c>
      <c r="F23" s="319">
        <f t="shared" si="0"/>
        <v>0</v>
      </c>
      <c r="G23" s="337">
        <f t="shared" si="6"/>
        <v>1</v>
      </c>
      <c r="H23" s="319">
        <f t="shared" si="1"/>
        <v>1</v>
      </c>
      <c r="I23" s="204">
        <f t="shared" si="6"/>
        <v>0</v>
      </c>
      <c r="J23" s="184">
        <f>SUM(J18:J22)</f>
        <v>1</v>
      </c>
      <c r="K23" s="184">
        <f>SUM(K18:K22)</f>
        <v>0</v>
      </c>
      <c r="L23" s="249">
        <f>SUM(L18:L22)</f>
        <v>0</v>
      </c>
      <c r="M23" s="319">
        <f t="shared" si="2"/>
        <v>2</v>
      </c>
      <c r="N23" s="337">
        <f>SUM(N18:N22)</f>
        <v>0</v>
      </c>
      <c r="O23" s="319">
        <f t="shared" si="3"/>
        <v>2</v>
      </c>
    </row>
    <row r="24" spans="1:15" x14ac:dyDescent="0.25">
      <c r="A24" s="232" t="s">
        <v>32</v>
      </c>
      <c r="B24" s="150">
        <v>0</v>
      </c>
      <c r="C24" s="150">
        <v>0</v>
      </c>
      <c r="D24" s="150">
        <v>1</v>
      </c>
      <c r="E24" s="332">
        <v>0</v>
      </c>
      <c r="F24" s="317">
        <f t="shared" si="0"/>
        <v>1</v>
      </c>
      <c r="G24" s="395">
        <v>1</v>
      </c>
      <c r="H24" s="335">
        <f t="shared" si="1"/>
        <v>2</v>
      </c>
      <c r="I24" s="197">
        <v>3</v>
      </c>
      <c r="J24" s="150">
        <v>0</v>
      </c>
      <c r="K24" s="150">
        <v>0</v>
      </c>
      <c r="L24" s="332">
        <v>0</v>
      </c>
      <c r="M24" s="335">
        <f>SUM(H24,I24,J24,K24,L24)</f>
        <v>5</v>
      </c>
      <c r="N24" s="395">
        <v>0</v>
      </c>
      <c r="O24" s="335">
        <f>SUM(M24,N24)</f>
        <v>5</v>
      </c>
    </row>
    <row r="25" spans="1:15" ht="14.25" thickBot="1" x14ac:dyDescent="0.3">
      <c r="A25" s="326" t="s">
        <v>33</v>
      </c>
      <c r="B25" s="227">
        <v>0</v>
      </c>
      <c r="C25" s="227">
        <v>0</v>
      </c>
      <c r="D25" s="227">
        <v>1</v>
      </c>
      <c r="E25" s="336">
        <v>0</v>
      </c>
      <c r="F25" s="400">
        <f t="shared" si="0"/>
        <v>1</v>
      </c>
      <c r="G25" s="402">
        <v>0</v>
      </c>
      <c r="H25" s="397">
        <f t="shared" si="1"/>
        <v>1</v>
      </c>
      <c r="I25" s="225">
        <v>1</v>
      </c>
      <c r="J25" s="227">
        <v>0</v>
      </c>
      <c r="K25" s="227">
        <v>0</v>
      </c>
      <c r="L25" s="336">
        <v>0</v>
      </c>
      <c r="M25" s="397">
        <f t="shared" si="2"/>
        <v>2</v>
      </c>
      <c r="N25" s="402">
        <v>0</v>
      </c>
      <c r="O25" s="397">
        <f t="shared" si="3"/>
        <v>2</v>
      </c>
    </row>
    <row r="26" spans="1:15" ht="14.25" thickBot="1" x14ac:dyDescent="0.3">
      <c r="A26" s="235" t="s">
        <v>34</v>
      </c>
      <c r="B26" s="258">
        <f>SUM(B24:B25)</f>
        <v>0</v>
      </c>
      <c r="C26" s="258">
        <f>SUM(C24:C25)</f>
        <v>0</v>
      </c>
      <c r="D26" s="258">
        <f>SUM(D24:D25)</f>
        <v>2</v>
      </c>
      <c r="E26" s="333">
        <f>SUM(E24:E25)</f>
        <v>0</v>
      </c>
      <c r="F26" s="403">
        <f t="shared" si="0"/>
        <v>2</v>
      </c>
      <c r="G26" s="404">
        <f>SUM(G24:G25)</f>
        <v>1</v>
      </c>
      <c r="H26" s="403">
        <f t="shared" si="1"/>
        <v>3</v>
      </c>
      <c r="I26" s="405">
        <f>SUM(I24:I25)</f>
        <v>4</v>
      </c>
      <c r="J26" s="258">
        <f>SUM(J24:J25)</f>
        <v>0</v>
      </c>
      <c r="K26" s="258">
        <f>SUM(K24:K25)</f>
        <v>0</v>
      </c>
      <c r="L26" s="333">
        <f>SUM(L24:L25)</f>
        <v>0</v>
      </c>
      <c r="M26" s="403">
        <f t="shared" si="2"/>
        <v>7</v>
      </c>
      <c r="N26" s="404">
        <f>SUM(N24:N25)</f>
        <v>0</v>
      </c>
      <c r="O26" s="403">
        <f t="shared" si="3"/>
        <v>7</v>
      </c>
    </row>
    <row r="27" spans="1:15" ht="14.25" thickBot="1" x14ac:dyDescent="0.3">
      <c r="A27" s="187" t="s">
        <v>189</v>
      </c>
      <c r="B27" s="184">
        <f>B10+B17+B23+B26</f>
        <v>14</v>
      </c>
      <c r="C27" s="184">
        <f>C10+C17+C23+C26</f>
        <v>1</v>
      </c>
      <c r="D27" s="184">
        <f>D10+D17+D23+D26</f>
        <v>3</v>
      </c>
      <c r="E27" s="249">
        <f>E10+E17+E23+E26</f>
        <v>1</v>
      </c>
      <c r="F27" s="319">
        <f t="shared" si="0"/>
        <v>19</v>
      </c>
      <c r="G27" s="337">
        <f>G10+G17+G23+G26</f>
        <v>2</v>
      </c>
      <c r="H27" s="319">
        <f t="shared" si="1"/>
        <v>21</v>
      </c>
      <c r="I27" s="204">
        <f>I10+I17+I23+I26</f>
        <v>4</v>
      </c>
      <c r="J27" s="184">
        <f>J10+J17+J23+J26</f>
        <v>1</v>
      </c>
      <c r="K27" s="184">
        <f>K10+K17+K23+K26</f>
        <v>0</v>
      </c>
      <c r="L27" s="249">
        <f>L10+L17+L23+L26</f>
        <v>0</v>
      </c>
      <c r="M27" s="319">
        <f t="shared" si="2"/>
        <v>26</v>
      </c>
      <c r="N27" s="337">
        <f>N10+N17+N23+N26</f>
        <v>0</v>
      </c>
      <c r="O27" s="319">
        <f t="shared" si="3"/>
        <v>26</v>
      </c>
    </row>
    <row r="28" spans="1:15" ht="14.25" hidden="1" thickBot="1" x14ac:dyDescent="0.3">
      <c r="A28" s="798" t="s">
        <v>206</v>
      </c>
      <c r="B28" s="660"/>
      <c r="C28" s="660"/>
      <c r="D28" s="660"/>
      <c r="E28" s="790"/>
      <c r="F28" s="789"/>
      <c r="G28" s="795"/>
      <c r="H28" s="794"/>
      <c r="I28" s="791"/>
      <c r="J28" s="660"/>
      <c r="K28" s="660"/>
      <c r="L28" s="790"/>
      <c r="M28" s="794"/>
      <c r="N28" s="795"/>
      <c r="O28" s="799"/>
    </row>
    <row r="29" spans="1:15" ht="14.25" thickBot="1" x14ac:dyDescent="0.3">
      <c r="A29" s="187" t="s">
        <v>207</v>
      </c>
      <c r="B29" s="184">
        <f>B27+B28</f>
        <v>14</v>
      </c>
      <c r="C29" s="184">
        <f t="shared" ref="C29:O29" si="7">C27+C28</f>
        <v>1</v>
      </c>
      <c r="D29" s="184">
        <f t="shared" si="7"/>
        <v>3</v>
      </c>
      <c r="E29" s="249">
        <f t="shared" si="7"/>
        <v>1</v>
      </c>
      <c r="F29" s="319">
        <f t="shared" si="7"/>
        <v>19</v>
      </c>
      <c r="G29" s="337">
        <f t="shared" si="7"/>
        <v>2</v>
      </c>
      <c r="H29" s="319">
        <f t="shared" si="7"/>
        <v>21</v>
      </c>
      <c r="I29" s="204">
        <f t="shared" si="7"/>
        <v>4</v>
      </c>
      <c r="J29" s="184">
        <f t="shared" si="7"/>
        <v>1</v>
      </c>
      <c r="K29" s="184">
        <f t="shared" si="7"/>
        <v>0</v>
      </c>
      <c r="L29" s="249">
        <f t="shared" si="7"/>
        <v>0</v>
      </c>
      <c r="M29" s="319">
        <f t="shared" si="7"/>
        <v>26</v>
      </c>
      <c r="N29" s="337">
        <f t="shared" si="7"/>
        <v>0</v>
      </c>
      <c r="O29" s="319">
        <f t="shared" si="7"/>
        <v>26</v>
      </c>
    </row>
    <row r="30" spans="1:15" ht="14.25" thickBot="1" x14ac:dyDescent="0.3">
      <c r="N30" s="291"/>
      <c r="O30" s="291"/>
    </row>
    <row r="31" spans="1:15" ht="14.25" thickBot="1" x14ac:dyDescent="0.3">
      <c r="A31" s="314">
        <f>O29</f>
        <v>26</v>
      </c>
      <c r="B31" s="406" t="s">
        <v>116</v>
      </c>
      <c r="C31" s="406"/>
      <c r="D31" s="407"/>
      <c r="E31" s="408">
        <f>'Anlage 1a'!D45</f>
        <v>840</v>
      </c>
      <c r="F31" s="406" t="s">
        <v>117</v>
      </c>
      <c r="G31" s="407"/>
      <c r="H31" s="409" t="s">
        <v>118</v>
      </c>
      <c r="I31" s="406"/>
      <c r="J31" s="406"/>
      <c r="K31" s="406"/>
      <c r="L31" s="406"/>
      <c r="M31" s="406"/>
      <c r="N31" s="410">
        <f>A31/E31*100</f>
        <v>3.0952380952380953</v>
      </c>
      <c r="O31" s="320" t="s">
        <v>50</v>
      </c>
    </row>
  </sheetData>
  <customSheetViews>
    <customSheetView guid="{0224233B-564D-4BBC-A6B2-E639E6D2CFB3}" showPageBreaks="1" fitToPage="1" showRuler="0">
      <selection activeCell="C48" sqref="C48"/>
      <pageMargins left="0.39370078740157483" right="0.39370078740157483" top="0.59055118110236227" bottom="0.59055118110236227" header="0.51181102362204722" footer="0.51181102362204722"/>
      <pageSetup paperSize="9" orientation="landscape" r:id="rId1"/>
      <headerFooter alignWithMargins="0">
        <oddFooter>&amp;Z&amp;F&amp;RSeite &amp;P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89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view="pageLayout" zoomScaleNormal="100" zoomScaleSheetLayoutView="100" workbookViewId="0">
      <selection activeCell="A30" sqref="A30"/>
    </sheetView>
  </sheetViews>
  <sheetFormatPr baseColWidth="10" defaultRowHeight="13.5" x14ac:dyDescent="0.25"/>
  <cols>
    <col min="1" max="1" width="22.42578125" style="3" bestFit="1" customWidth="1"/>
    <col min="2" max="15" width="7.28515625" style="3" customWidth="1"/>
    <col min="16" max="16384" width="11.42578125" style="3"/>
  </cols>
  <sheetData>
    <row r="1" spans="1:17" ht="15.75" x14ac:dyDescent="0.25">
      <c r="A1" s="312" t="s">
        <v>333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>
      <c r="F4" s="121"/>
    </row>
    <row r="5" spans="1:17" ht="98.25" thickBot="1" x14ac:dyDescent="0.3">
      <c r="A5" s="411" t="s">
        <v>190</v>
      </c>
      <c r="B5" s="412" t="s">
        <v>102</v>
      </c>
      <c r="C5" s="412" t="s">
        <v>103</v>
      </c>
      <c r="D5" s="412" t="s">
        <v>104</v>
      </c>
      <c r="E5" s="413" t="s">
        <v>105</v>
      </c>
      <c r="F5" s="414" t="s">
        <v>106</v>
      </c>
      <c r="G5" s="415" t="s">
        <v>107</v>
      </c>
      <c r="H5" s="416" t="s">
        <v>108</v>
      </c>
      <c r="I5" s="417" t="s">
        <v>109</v>
      </c>
      <c r="J5" s="417" t="s">
        <v>110</v>
      </c>
      <c r="K5" s="417" t="s">
        <v>111</v>
      </c>
      <c r="L5" s="418" t="s">
        <v>112</v>
      </c>
      <c r="M5" s="419" t="s">
        <v>193</v>
      </c>
      <c r="N5" s="419" t="s">
        <v>114</v>
      </c>
      <c r="O5" s="420" t="s">
        <v>115</v>
      </c>
    </row>
    <row r="6" spans="1:17" x14ac:dyDescent="0.25">
      <c r="A6" s="421" t="s">
        <v>185</v>
      </c>
      <c r="B6" s="150">
        <v>0</v>
      </c>
      <c r="C6" s="150">
        <v>0</v>
      </c>
      <c r="D6" s="150">
        <v>0</v>
      </c>
      <c r="E6" s="332">
        <v>0</v>
      </c>
      <c r="F6" s="328">
        <f t="shared" ref="F6:F26" si="0">SUM(B6:E6)</f>
        <v>0</v>
      </c>
      <c r="G6" s="395">
        <v>0</v>
      </c>
      <c r="H6" s="335">
        <f>SUM(F6:G6)</f>
        <v>0</v>
      </c>
      <c r="I6" s="197">
        <v>1</v>
      </c>
      <c r="J6" s="150">
        <v>0</v>
      </c>
      <c r="K6" s="150">
        <v>0</v>
      </c>
      <c r="L6" s="332">
        <v>0</v>
      </c>
      <c r="M6" s="335">
        <f t="shared" ref="M6:M26" si="1">SUM(H6,I6,J6,K6,L6)</f>
        <v>1</v>
      </c>
      <c r="N6" s="395">
        <v>0</v>
      </c>
      <c r="O6" s="335">
        <f>SUM(M6,N6)</f>
        <v>1</v>
      </c>
    </row>
    <row r="7" spans="1:17" x14ac:dyDescent="0.25">
      <c r="A7" s="332" t="s">
        <v>23</v>
      </c>
      <c r="B7" s="150">
        <v>0</v>
      </c>
      <c r="C7" s="150">
        <v>0</v>
      </c>
      <c r="D7" s="150">
        <v>0</v>
      </c>
      <c r="E7" s="332">
        <v>0</v>
      </c>
      <c r="F7" s="317">
        <f>SUM(B7:E7)</f>
        <v>0</v>
      </c>
      <c r="G7" s="395">
        <v>0</v>
      </c>
      <c r="H7" s="335">
        <f t="shared" ref="H7:H26" si="2">SUM(F7:G7)</f>
        <v>0</v>
      </c>
      <c r="I7" s="197">
        <v>2</v>
      </c>
      <c r="J7" s="150">
        <v>0</v>
      </c>
      <c r="K7" s="150">
        <v>0</v>
      </c>
      <c r="L7" s="329">
        <v>0</v>
      </c>
      <c r="M7" s="335">
        <f t="shared" si="1"/>
        <v>2</v>
      </c>
      <c r="N7" s="395">
        <v>0</v>
      </c>
      <c r="O7" s="335">
        <f t="shared" ref="O7:O26" si="3">SUM(M7,N7)</f>
        <v>2</v>
      </c>
    </row>
    <row r="8" spans="1:17" x14ac:dyDescent="0.25">
      <c r="A8" s="332" t="s">
        <v>186</v>
      </c>
      <c r="B8" s="308">
        <v>0</v>
      </c>
      <c r="C8" s="308">
        <v>0</v>
      </c>
      <c r="D8" s="308">
        <v>0</v>
      </c>
      <c r="E8" s="329">
        <v>0</v>
      </c>
      <c r="F8" s="317">
        <f t="shared" si="0"/>
        <v>0</v>
      </c>
      <c r="G8" s="338">
        <v>0</v>
      </c>
      <c r="H8" s="335">
        <f t="shared" si="2"/>
        <v>0</v>
      </c>
      <c r="I8" s="330">
        <v>0</v>
      </c>
      <c r="J8" s="308">
        <v>0</v>
      </c>
      <c r="K8" s="308">
        <v>0</v>
      </c>
      <c r="L8" s="329">
        <v>0</v>
      </c>
      <c r="M8" s="335">
        <f t="shared" si="1"/>
        <v>0</v>
      </c>
      <c r="N8" s="338">
        <v>0</v>
      </c>
      <c r="O8" s="335">
        <f t="shared" si="3"/>
        <v>0</v>
      </c>
    </row>
    <row r="9" spans="1:17" ht="14.25" thickBot="1" x14ac:dyDescent="0.3">
      <c r="A9" s="422" t="s">
        <v>291</v>
      </c>
      <c r="B9" s="150">
        <v>1</v>
      </c>
      <c r="C9" s="150">
        <v>0</v>
      </c>
      <c r="D9" s="150">
        <v>0</v>
      </c>
      <c r="E9" s="332">
        <v>0</v>
      </c>
      <c r="F9" s="317">
        <f t="shared" si="0"/>
        <v>1</v>
      </c>
      <c r="G9" s="395">
        <v>0</v>
      </c>
      <c r="H9" s="335">
        <f>SUM(F9:G9)</f>
        <v>1</v>
      </c>
      <c r="I9" s="197">
        <v>0</v>
      </c>
      <c r="J9" s="150">
        <v>0</v>
      </c>
      <c r="K9" s="150">
        <v>0</v>
      </c>
      <c r="L9" s="332">
        <v>0</v>
      </c>
      <c r="M9" s="335">
        <f t="shared" si="1"/>
        <v>1</v>
      </c>
      <c r="N9" s="395">
        <v>0</v>
      </c>
      <c r="O9" s="397">
        <f t="shared" si="3"/>
        <v>1</v>
      </c>
    </row>
    <row r="10" spans="1:17" ht="14.25" thickBot="1" x14ac:dyDescent="0.3">
      <c r="A10" s="423" t="s">
        <v>25</v>
      </c>
      <c r="B10" s="184">
        <f>SUM(B6:B9)</f>
        <v>1</v>
      </c>
      <c r="C10" s="184">
        <f t="shared" ref="C10:L10" si="4">SUM(C6:C9)</f>
        <v>0</v>
      </c>
      <c r="D10" s="184">
        <f t="shared" si="4"/>
        <v>0</v>
      </c>
      <c r="E10" s="249">
        <f t="shared" si="4"/>
        <v>0</v>
      </c>
      <c r="F10" s="345">
        <f t="shared" si="0"/>
        <v>1</v>
      </c>
      <c r="G10" s="337">
        <f t="shared" si="4"/>
        <v>0</v>
      </c>
      <c r="H10" s="319">
        <f t="shared" si="2"/>
        <v>1</v>
      </c>
      <c r="I10" s="204">
        <f t="shared" si="4"/>
        <v>3</v>
      </c>
      <c r="J10" s="184">
        <f t="shared" si="4"/>
        <v>0</v>
      </c>
      <c r="K10" s="184">
        <f t="shared" si="4"/>
        <v>0</v>
      </c>
      <c r="L10" s="249">
        <f t="shared" si="4"/>
        <v>0</v>
      </c>
      <c r="M10" s="319">
        <f t="shared" si="1"/>
        <v>4</v>
      </c>
      <c r="N10" s="337">
        <f>SUM(N6:N9)</f>
        <v>0</v>
      </c>
      <c r="O10" s="319">
        <f t="shared" si="3"/>
        <v>4</v>
      </c>
    </row>
    <row r="11" spans="1:17" x14ac:dyDescent="0.25">
      <c r="A11" s="332" t="s">
        <v>187</v>
      </c>
      <c r="B11" s="150">
        <v>0</v>
      </c>
      <c r="C11" s="150">
        <v>0</v>
      </c>
      <c r="D11" s="150">
        <v>0</v>
      </c>
      <c r="E11" s="332">
        <v>0</v>
      </c>
      <c r="F11" s="317">
        <f t="shared" si="0"/>
        <v>0</v>
      </c>
      <c r="G11" s="395">
        <v>0</v>
      </c>
      <c r="H11" s="335">
        <f>SUM(F11:G11)</f>
        <v>0</v>
      </c>
      <c r="I11" s="197">
        <v>0</v>
      </c>
      <c r="J11" s="150">
        <v>0</v>
      </c>
      <c r="K11" s="150">
        <v>0</v>
      </c>
      <c r="L11" s="332">
        <v>0</v>
      </c>
      <c r="M11" s="335">
        <f t="shared" si="1"/>
        <v>0</v>
      </c>
      <c r="N11" s="395">
        <v>0</v>
      </c>
      <c r="O11" s="335">
        <f t="shared" si="3"/>
        <v>0</v>
      </c>
    </row>
    <row r="12" spans="1:17" x14ac:dyDescent="0.25">
      <c r="A12" s="332" t="s">
        <v>28</v>
      </c>
      <c r="B12" s="150">
        <v>0</v>
      </c>
      <c r="C12" s="150">
        <v>0</v>
      </c>
      <c r="D12" s="150">
        <v>0</v>
      </c>
      <c r="E12" s="332">
        <v>0</v>
      </c>
      <c r="F12" s="317">
        <f t="shared" si="0"/>
        <v>0</v>
      </c>
      <c r="G12" s="395">
        <v>0</v>
      </c>
      <c r="H12" s="335">
        <f>SUM(F12:G12)</f>
        <v>0</v>
      </c>
      <c r="I12" s="197">
        <v>0</v>
      </c>
      <c r="J12" s="150">
        <v>0</v>
      </c>
      <c r="K12" s="150">
        <v>0</v>
      </c>
      <c r="L12" s="332">
        <v>0</v>
      </c>
      <c r="M12" s="335">
        <f t="shared" si="1"/>
        <v>0</v>
      </c>
      <c r="N12" s="395">
        <v>0</v>
      </c>
      <c r="O12" s="335">
        <f t="shared" si="3"/>
        <v>0</v>
      </c>
    </row>
    <row r="13" spans="1:17" x14ac:dyDescent="0.25">
      <c r="A13" s="332" t="s">
        <v>29</v>
      </c>
      <c r="B13" s="150">
        <v>1</v>
      </c>
      <c r="C13" s="150">
        <v>2</v>
      </c>
      <c r="D13" s="150">
        <v>0</v>
      </c>
      <c r="E13" s="332">
        <v>0</v>
      </c>
      <c r="F13" s="317">
        <f t="shared" si="0"/>
        <v>3</v>
      </c>
      <c r="G13" s="395">
        <v>0</v>
      </c>
      <c r="H13" s="335">
        <f t="shared" si="2"/>
        <v>3</v>
      </c>
      <c r="I13" s="197">
        <v>0</v>
      </c>
      <c r="J13" s="150">
        <v>0</v>
      </c>
      <c r="K13" s="150">
        <v>1</v>
      </c>
      <c r="L13" s="332">
        <v>0</v>
      </c>
      <c r="M13" s="335">
        <f t="shared" si="1"/>
        <v>4</v>
      </c>
      <c r="N13" s="395">
        <v>0</v>
      </c>
      <c r="O13" s="335">
        <f t="shared" si="3"/>
        <v>4</v>
      </c>
    </row>
    <row r="14" spans="1:17" x14ac:dyDescent="0.25">
      <c r="A14" s="332" t="s">
        <v>188</v>
      </c>
      <c r="B14" s="150">
        <v>0</v>
      </c>
      <c r="C14" s="150">
        <v>0</v>
      </c>
      <c r="D14" s="150">
        <v>0</v>
      </c>
      <c r="E14" s="332">
        <v>0</v>
      </c>
      <c r="F14" s="317">
        <f t="shared" si="0"/>
        <v>0</v>
      </c>
      <c r="G14" s="395">
        <v>0</v>
      </c>
      <c r="H14" s="335">
        <f>SUM(F14:G14)</f>
        <v>0</v>
      </c>
      <c r="I14" s="197">
        <v>0</v>
      </c>
      <c r="J14" s="150">
        <v>0</v>
      </c>
      <c r="K14" s="150">
        <v>0</v>
      </c>
      <c r="L14" s="332">
        <v>0</v>
      </c>
      <c r="M14" s="335">
        <f t="shared" si="1"/>
        <v>0</v>
      </c>
      <c r="N14" s="395">
        <v>0</v>
      </c>
      <c r="O14" s="335">
        <f t="shared" si="3"/>
        <v>0</v>
      </c>
    </row>
    <row r="15" spans="1:17" ht="14.25" thickBot="1" x14ac:dyDescent="0.3">
      <c r="A15" s="336" t="s">
        <v>292</v>
      </c>
      <c r="B15" s="399">
        <v>0</v>
      </c>
      <c r="C15" s="399">
        <v>0</v>
      </c>
      <c r="D15" s="399">
        <v>2</v>
      </c>
      <c r="E15" s="325">
        <v>0</v>
      </c>
      <c r="F15" s="400">
        <f t="shared" si="0"/>
        <v>2</v>
      </c>
      <c r="G15" s="401">
        <v>0</v>
      </c>
      <c r="H15" s="397">
        <f t="shared" si="2"/>
        <v>2</v>
      </c>
      <c r="I15" s="324">
        <v>0</v>
      </c>
      <c r="J15" s="399">
        <v>0</v>
      </c>
      <c r="K15" s="399">
        <v>0</v>
      </c>
      <c r="L15" s="325">
        <v>0</v>
      </c>
      <c r="M15" s="397">
        <f t="shared" si="1"/>
        <v>2</v>
      </c>
      <c r="N15" s="401">
        <v>0</v>
      </c>
      <c r="O15" s="397">
        <f t="shared" si="3"/>
        <v>2</v>
      </c>
    </row>
    <row r="16" spans="1:17" ht="14.25" thickBot="1" x14ac:dyDescent="0.3">
      <c r="A16" s="424" t="s">
        <v>30</v>
      </c>
      <c r="B16" s="184">
        <f>SUM(B11:B15)</f>
        <v>1</v>
      </c>
      <c r="C16" s="184">
        <f>SUM(C11:C15)</f>
        <v>2</v>
      </c>
      <c r="D16" s="184">
        <f>SUM(D11:D15)</f>
        <v>2</v>
      </c>
      <c r="E16" s="249">
        <f>SUM(E11:E15)</f>
        <v>0</v>
      </c>
      <c r="F16" s="345">
        <f t="shared" si="0"/>
        <v>5</v>
      </c>
      <c r="G16" s="337">
        <f>SUM(G11:G15)</f>
        <v>0</v>
      </c>
      <c r="H16" s="319">
        <f t="shared" si="2"/>
        <v>5</v>
      </c>
      <c r="I16" s="204">
        <f>SUM(I11:I15)</f>
        <v>0</v>
      </c>
      <c r="J16" s="184">
        <f>SUM(J11:J15)</f>
        <v>0</v>
      </c>
      <c r="K16" s="184">
        <f>SUM(K11:K15)</f>
        <v>1</v>
      </c>
      <c r="L16" s="249">
        <f>SUM(L11:L15)</f>
        <v>0</v>
      </c>
      <c r="M16" s="319">
        <f t="shared" si="1"/>
        <v>6</v>
      </c>
      <c r="N16" s="337">
        <f>SUM(N11:N15)</f>
        <v>0</v>
      </c>
      <c r="O16" s="319">
        <f t="shared" si="3"/>
        <v>6</v>
      </c>
    </row>
    <row r="17" spans="1:15" x14ac:dyDescent="0.25">
      <c r="A17" s="327" t="s">
        <v>317</v>
      </c>
      <c r="B17" s="150">
        <v>0</v>
      </c>
      <c r="C17" s="150">
        <v>0</v>
      </c>
      <c r="D17" s="150">
        <v>0</v>
      </c>
      <c r="E17" s="332">
        <v>0</v>
      </c>
      <c r="F17" s="317">
        <f t="shared" si="0"/>
        <v>0</v>
      </c>
      <c r="G17" s="395">
        <v>0</v>
      </c>
      <c r="H17" s="335">
        <f>SUM(F17:G17)</f>
        <v>0</v>
      </c>
      <c r="I17" s="197">
        <v>0</v>
      </c>
      <c r="J17" s="150">
        <v>0</v>
      </c>
      <c r="K17" s="150">
        <v>0</v>
      </c>
      <c r="L17" s="332">
        <v>0</v>
      </c>
      <c r="M17" s="335">
        <f t="shared" si="1"/>
        <v>0</v>
      </c>
      <c r="N17" s="395">
        <v>0</v>
      </c>
      <c r="O17" s="398">
        <f t="shared" si="3"/>
        <v>0</v>
      </c>
    </row>
    <row r="18" spans="1:15" x14ac:dyDescent="0.25">
      <c r="A18" s="329" t="s">
        <v>316</v>
      </c>
      <c r="B18" s="150">
        <v>0</v>
      </c>
      <c r="C18" s="150">
        <v>0</v>
      </c>
      <c r="D18" s="150">
        <v>0</v>
      </c>
      <c r="E18" s="332">
        <v>0</v>
      </c>
      <c r="F18" s="317">
        <f t="shared" si="0"/>
        <v>0</v>
      </c>
      <c r="G18" s="395">
        <v>0</v>
      </c>
      <c r="H18" s="335">
        <f>SUM(F18:G18)</f>
        <v>0</v>
      </c>
      <c r="I18" s="197">
        <v>0</v>
      </c>
      <c r="J18" s="150">
        <v>0</v>
      </c>
      <c r="K18" s="150">
        <v>0</v>
      </c>
      <c r="L18" s="332">
        <v>0</v>
      </c>
      <c r="M18" s="335">
        <f t="shared" si="1"/>
        <v>0</v>
      </c>
      <c r="N18" s="395">
        <v>0</v>
      </c>
      <c r="O18" s="335">
        <f t="shared" si="3"/>
        <v>0</v>
      </c>
    </row>
    <row r="19" spans="1:15" x14ac:dyDescent="0.25">
      <c r="A19" s="332" t="s">
        <v>289</v>
      </c>
      <c r="B19" s="150">
        <v>0</v>
      </c>
      <c r="C19" s="150">
        <v>0</v>
      </c>
      <c r="D19" s="150">
        <v>0</v>
      </c>
      <c r="E19" s="332">
        <v>0</v>
      </c>
      <c r="F19" s="317">
        <f t="shared" si="0"/>
        <v>0</v>
      </c>
      <c r="G19" s="395">
        <v>0</v>
      </c>
      <c r="H19" s="335">
        <f>SUM(F19:G19)</f>
        <v>0</v>
      </c>
      <c r="I19" s="197">
        <v>0</v>
      </c>
      <c r="J19" s="150">
        <v>0</v>
      </c>
      <c r="K19" s="150">
        <v>0</v>
      </c>
      <c r="L19" s="332">
        <v>0</v>
      </c>
      <c r="M19" s="335">
        <f t="shared" si="1"/>
        <v>0</v>
      </c>
      <c r="N19" s="395">
        <v>0</v>
      </c>
      <c r="O19" s="335">
        <f t="shared" si="3"/>
        <v>0</v>
      </c>
    </row>
    <row r="20" spans="1:15" x14ac:dyDescent="0.25">
      <c r="A20" s="332" t="s">
        <v>290</v>
      </c>
      <c r="B20" s="308">
        <v>0</v>
      </c>
      <c r="C20" s="308">
        <v>0</v>
      </c>
      <c r="D20" s="308">
        <v>0</v>
      </c>
      <c r="E20" s="329">
        <v>0</v>
      </c>
      <c r="F20" s="317">
        <f t="shared" si="0"/>
        <v>0</v>
      </c>
      <c r="G20" s="338">
        <v>0</v>
      </c>
      <c r="H20" s="335">
        <f t="shared" si="2"/>
        <v>0</v>
      </c>
      <c r="I20" s="330">
        <v>0</v>
      </c>
      <c r="J20" s="308">
        <v>0</v>
      </c>
      <c r="K20" s="308">
        <v>0</v>
      </c>
      <c r="L20" s="329">
        <v>0</v>
      </c>
      <c r="M20" s="335">
        <f t="shared" si="1"/>
        <v>0</v>
      </c>
      <c r="N20" s="338">
        <v>0</v>
      </c>
      <c r="O20" s="335">
        <f t="shared" si="3"/>
        <v>0</v>
      </c>
    </row>
    <row r="21" spans="1:15" ht="14.25" thickBot="1" x14ac:dyDescent="0.3">
      <c r="A21" s="325" t="s">
        <v>51</v>
      </c>
      <c r="B21" s="150">
        <v>0</v>
      </c>
      <c r="C21" s="150">
        <v>0</v>
      </c>
      <c r="D21" s="150">
        <v>0</v>
      </c>
      <c r="E21" s="332">
        <v>0</v>
      </c>
      <c r="F21" s="317">
        <f t="shared" si="0"/>
        <v>0</v>
      </c>
      <c r="G21" s="395">
        <v>0</v>
      </c>
      <c r="H21" s="335">
        <f>SUM(F21:G21)</f>
        <v>0</v>
      </c>
      <c r="I21" s="197">
        <v>1</v>
      </c>
      <c r="J21" s="150">
        <v>0</v>
      </c>
      <c r="K21" s="150">
        <v>0</v>
      </c>
      <c r="L21" s="332">
        <v>0</v>
      </c>
      <c r="M21" s="335">
        <f t="shared" si="1"/>
        <v>1</v>
      </c>
      <c r="N21" s="395">
        <v>0</v>
      </c>
      <c r="O21" s="335">
        <f t="shared" si="3"/>
        <v>1</v>
      </c>
    </row>
    <row r="22" spans="1:15" ht="14.25" thickBot="1" x14ac:dyDescent="0.3">
      <c r="A22" s="425" t="s">
        <v>31</v>
      </c>
      <c r="B22" s="184">
        <f>SUM(B17:B21)</f>
        <v>0</v>
      </c>
      <c r="C22" s="184">
        <f t="shared" ref="C22:L22" si="5">SUM(C17:C21)</f>
        <v>0</v>
      </c>
      <c r="D22" s="184">
        <f t="shared" si="5"/>
        <v>0</v>
      </c>
      <c r="E22" s="249">
        <f t="shared" si="5"/>
        <v>0</v>
      </c>
      <c r="F22" s="319">
        <f t="shared" si="0"/>
        <v>0</v>
      </c>
      <c r="G22" s="337">
        <f t="shared" si="5"/>
        <v>0</v>
      </c>
      <c r="H22" s="319">
        <f t="shared" si="2"/>
        <v>0</v>
      </c>
      <c r="I22" s="204">
        <f t="shared" si="5"/>
        <v>1</v>
      </c>
      <c r="J22" s="184">
        <f t="shared" si="5"/>
        <v>0</v>
      </c>
      <c r="K22" s="184">
        <f t="shared" si="5"/>
        <v>0</v>
      </c>
      <c r="L22" s="249">
        <f t="shared" si="5"/>
        <v>0</v>
      </c>
      <c r="M22" s="319">
        <f t="shared" si="1"/>
        <v>1</v>
      </c>
      <c r="N22" s="337">
        <f>SUM(N17:N21)</f>
        <v>0</v>
      </c>
      <c r="O22" s="319">
        <f t="shared" si="3"/>
        <v>1</v>
      </c>
    </row>
    <row r="23" spans="1:15" x14ac:dyDescent="0.25">
      <c r="A23" s="327" t="s">
        <v>32</v>
      </c>
      <c r="B23" s="150">
        <v>0</v>
      </c>
      <c r="C23" s="150">
        <v>0</v>
      </c>
      <c r="D23" s="150">
        <v>0</v>
      </c>
      <c r="E23" s="332">
        <v>1</v>
      </c>
      <c r="F23" s="317">
        <f t="shared" si="0"/>
        <v>1</v>
      </c>
      <c r="G23" s="395">
        <v>1</v>
      </c>
      <c r="H23" s="335">
        <f>SUM(F23:G23)</f>
        <v>2</v>
      </c>
      <c r="I23" s="197">
        <v>3</v>
      </c>
      <c r="J23" s="150">
        <v>0</v>
      </c>
      <c r="K23" s="150">
        <v>0</v>
      </c>
      <c r="L23" s="332">
        <v>0</v>
      </c>
      <c r="M23" s="335">
        <f t="shared" si="1"/>
        <v>5</v>
      </c>
      <c r="N23" s="395">
        <v>0</v>
      </c>
      <c r="O23" s="335">
        <f t="shared" si="3"/>
        <v>5</v>
      </c>
    </row>
    <row r="24" spans="1:15" ht="14.25" thickBot="1" x14ac:dyDescent="0.3">
      <c r="A24" s="325" t="s">
        <v>33</v>
      </c>
      <c r="B24" s="227">
        <v>0</v>
      </c>
      <c r="C24" s="227">
        <v>0</v>
      </c>
      <c r="D24" s="227">
        <v>2</v>
      </c>
      <c r="E24" s="336">
        <v>0</v>
      </c>
      <c r="F24" s="400">
        <f t="shared" si="0"/>
        <v>2</v>
      </c>
      <c r="G24" s="402">
        <v>0</v>
      </c>
      <c r="H24" s="397">
        <f t="shared" si="2"/>
        <v>2</v>
      </c>
      <c r="I24" s="225">
        <v>0</v>
      </c>
      <c r="J24" s="227">
        <v>0</v>
      </c>
      <c r="K24" s="227">
        <v>0</v>
      </c>
      <c r="L24" s="336">
        <v>0</v>
      </c>
      <c r="M24" s="397">
        <f t="shared" si="1"/>
        <v>2</v>
      </c>
      <c r="N24" s="402">
        <v>0</v>
      </c>
      <c r="O24" s="397">
        <f t="shared" si="3"/>
        <v>2</v>
      </c>
    </row>
    <row r="25" spans="1:15" ht="14.25" thickBot="1" x14ac:dyDescent="0.3">
      <c r="A25" s="426" t="s">
        <v>34</v>
      </c>
      <c r="B25" s="258">
        <f>SUM(B23:B24)</f>
        <v>0</v>
      </c>
      <c r="C25" s="258">
        <f>SUM(C23:C24)</f>
        <v>0</v>
      </c>
      <c r="D25" s="258">
        <f>SUM(D23:D24)</f>
        <v>2</v>
      </c>
      <c r="E25" s="333">
        <f>SUM(E23:E24)</f>
        <v>1</v>
      </c>
      <c r="F25" s="403">
        <f t="shared" si="0"/>
        <v>3</v>
      </c>
      <c r="G25" s="404">
        <f>SUM(G23:G24)</f>
        <v>1</v>
      </c>
      <c r="H25" s="403">
        <f t="shared" si="2"/>
        <v>4</v>
      </c>
      <c r="I25" s="405">
        <f>SUM(I23:I24)</f>
        <v>3</v>
      </c>
      <c r="J25" s="258">
        <f>SUM(J23:J24)</f>
        <v>0</v>
      </c>
      <c r="K25" s="258">
        <f>SUM(K23:K24)</f>
        <v>0</v>
      </c>
      <c r="L25" s="333">
        <f>SUM(L23:L24)</f>
        <v>0</v>
      </c>
      <c r="M25" s="403">
        <f t="shared" si="1"/>
        <v>7</v>
      </c>
      <c r="N25" s="404">
        <f>SUM(N23:N24)</f>
        <v>0</v>
      </c>
      <c r="O25" s="403">
        <f t="shared" si="3"/>
        <v>7</v>
      </c>
    </row>
    <row r="26" spans="1:15" ht="14.25" thickBot="1" x14ac:dyDescent="0.3">
      <c r="A26" s="314" t="s">
        <v>189</v>
      </c>
      <c r="B26" s="184">
        <f>B10+B16+B22+B25</f>
        <v>2</v>
      </c>
      <c r="C26" s="184">
        <f>C10+C16+C22+C25</f>
        <v>2</v>
      </c>
      <c r="D26" s="184">
        <f>D10+D16+D22+D25</f>
        <v>4</v>
      </c>
      <c r="E26" s="249">
        <f>E10+E16+E22+E25</f>
        <v>1</v>
      </c>
      <c r="F26" s="319">
        <f t="shared" si="0"/>
        <v>9</v>
      </c>
      <c r="G26" s="337">
        <f>G10+G16+G22+G25</f>
        <v>1</v>
      </c>
      <c r="H26" s="319">
        <f t="shared" si="2"/>
        <v>10</v>
      </c>
      <c r="I26" s="204">
        <f>I10+I16+I22+I25</f>
        <v>7</v>
      </c>
      <c r="J26" s="184">
        <f>J10+J16+J22+J25</f>
        <v>0</v>
      </c>
      <c r="K26" s="184">
        <f>K10+K16+K22+K25</f>
        <v>1</v>
      </c>
      <c r="L26" s="249">
        <f>L10+L16+L22+L25</f>
        <v>0</v>
      </c>
      <c r="M26" s="319">
        <f t="shared" si="1"/>
        <v>18</v>
      </c>
      <c r="N26" s="337">
        <f>N10+N16+N22+N25</f>
        <v>0</v>
      </c>
      <c r="O26" s="319">
        <f t="shared" si="3"/>
        <v>18</v>
      </c>
    </row>
    <row r="27" spans="1:15" ht="0.75" customHeight="1" thickBot="1" x14ac:dyDescent="0.3">
      <c r="A27" s="936"/>
      <c r="B27" s="937"/>
      <c r="C27" s="937"/>
      <c r="D27" s="937"/>
      <c r="E27" s="938"/>
      <c r="F27" s="939"/>
      <c r="G27" s="940"/>
      <c r="H27" s="941"/>
      <c r="I27" s="942"/>
      <c r="J27" s="937"/>
      <c r="K27" s="937"/>
      <c r="L27" s="938"/>
      <c r="M27" s="941"/>
      <c r="N27" s="940"/>
      <c r="O27" s="943"/>
    </row>
    <row r="28" spans="1:15" ht="14.25" thickBot="1" x14ac:dyDescent="0.3">
      <c r="A28" s="187" t="s">
        <v>207</v>
      </c>
      <c r="B28" s="184">
        <f t="shared" ref="B28:O28" si="6">B26+B27</f>
        <v>2</v>
      </c>
      <c r="C28" s="184">
        <f t="shared" si="6"/>
        <v>2</v>
      </c>
      <c r="D28" s="184">
        <f t="shared" si="6"/>
        <v>4</v>
      </c>
      <c r="E28" s="249">
        <f t="shared" si="6"/>
        <v>1</v>
      </c>
      <c r="F28" s="319">
        <f t="shared" si="6"/>
        <v>9</v>
      </c>
      <c r="G28" s="337">
        <f t="shared" si="6"/>
        <v>1</v>
      </c>
      <c r="H28" s="319">
        <f t="shared" si="6"/>
        <v>10</v>
      </c>
      <c r="I28" s="204">
        <f t="shared" si="6"/>
        <v>7</v>
      </c>
      <c r="J28" s="184">
        <f t="shared" si="6"/>
        <v>0</v>
      </c>
      <c r="K28" s="184">
        <f t="shared" si="6"/>
        <v>1</v>
      </c>
      <c r="L28" s="249">
        <f t="shared" si="6"/>
        <v>0</v>
      </c>
      <c r="M28" s="319">
        <f t="shared" si="6"/>
        <v>18</v>
      </c>
      <c r="N28" s="337">
        <f t="shared" si="6"/>
        <v>0</v>
      </c>
      <c r="O28" s="319">
        <f t="shared" si="6"/>
        <v>18</v>
      </c>
    </row>
    <row r="29" spans="1:15" ht="14.25" thickBot="1" x14ac:dyDescent="0.3">
      <c r="N29" s="291"/>
    </row>
    <row r="30" spans="1:15" ht="14.25" thickBot="1" x14ac:dyDescent="0.3">
      <c r="A30" s="314">
        <f>O28</f>
        <v>18</v>
      </c>
      <c r="B30" s="406" t="s">
        <v>116</v>
      </c>
      <c r="C30" s="406"/>
      <c r="D30" s="407"/>
      <c r="E30" s="408">
        <f>'Anlage 1a'!F45</f>
        <v>932</v>
      </c>
      <c r="F30" s="406" t="s">
        <v>117</v>
      </c>
      <c r="G30" s="407"/>
      <c r="H30" s="409" t="s">
        <v>118</v>
      </c>
      <c r="I30" s="406"/>
      <c r="J30" s="406"/>
      <c r="K30" s="406"/>
      <c r="L30" s="406"/>
      <c r="M30" s="406"/>
      <c r="N30" s="410">
        <f>A30/E30*100</f>
        <v>1.9313304721030045</v>
      </c>
      <c r="O30" s="320" t="s">
        <v>50</v>
      </c>
    </row>
  </sheetData>
  <customSheetViews>
    <customSheetView guid="{0224233B-564D-4BBC-A6B2-E639E6D2CFB3}" showPageBreaks="1" fitToPage="1" showRuler="0">
      <selection activeCell="C48" sqref="C48"/>
      <pageMargins left="0.78740157499999996" right="0.78740157499999996" top="0.984251969" bottom="0.984251969" header="0.4921259845" footer="0.4921259845"/>
      <pageSetup paperSize="9" scale="91" orientation="landscape" r:id="rId1"/>
      <headerFooter alignWithMargins="0">
        <oddFooter>&amp;Z&amp;F&amp;RSeite &amp;P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89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view="pageLayout" zoomScaleNormal="130" zoomScaleSheetLayoutView="100" workbookViewId="0">
      <selection activeCell="O13" sqref="O13"/>
    </sheetView>
  </sheetViews>
  <sheetFormatPr baseColWidth="10" defaultRowHeight="13.5" x14ac:dyDescent="0.25"/>
  <cols>
    <col min="1" max="1" width="22.42578125" style="3" bestFit="1" customWidth="1"/>
    <col min="2" max="15" width="7.28515625" style="3" customWidth="1"/>
    <col min="16" max="16384" width="11.42578125" style="3"/>
  </cols>
  <sheetData>
    <row r="1" spans="1:17" ht="15.75" x14ac:dyDescent="0.25">
      <c r="A1" s="312" t="s">
        <v>333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>
      <c r="F4" s="121"/>
    </row>
    <row r="5" spans="1:17" ht="98.25" thickBot="1" x14ac:dyDescent="0.3">
      <c r="A5" s="411" t="s">
        <v>191</v>
      </c>
      <c r="B5" s="414" t="s">
        <v>102</v>
      </c>
      <c r="C5" s="414" t="s">
        <v>103</v>
      </c>
      <c r="D5" s="414" t="s">
        <v>104</v>
      </c>
      <c r="E5" s="414" t="s">
        <v>105</v>
      </c>
      <c r="F5" s="414" t="s">
        <v>106</v>
      </c>
      <c r="G5" s="415" t="s">
        <v>107</v>
      </c>
      <c r="H5" s="416" t="s">
        <v>108</v>
      </c>
      <c r="I5" s="427" t="s">
        <v>109</v>
      </c>
      <c r="J5" s="414" t="s">
        <v>110</v>
      </c>
      <c r="K5" s="428" t="s">
        <v>111</v>
      </c>
      <c r="L5" s="414" t="s">
        <v>112</v>
      </c>
      <c r="M5" s="416" t="s">
        <v>113</v>
      </c>
      <c r="N5" s="416" t="s">
        <v>114</v>
      </c>
      <c r="O5" s="429" t="s">
        <v>115</v>
      </c>
    </row>
    <row r="6" spans="1:17" x14ac:dyDescent="0.25">
      <c r="A6" s="421" t="s">
        <v>185</v>
      </c>
      <c r="B6" s="150">
        <v>0</v>
      </c>
      <c r="C6" s="150">
        <v>0</v>
      </c>
      <c r="D6" s="150">
        <v>0</v>
      </c>
      <c r="E6" s="332">
        <v>0</v>
      </c>
      <c r="F6" s="328">
        <f>SUM(B6:E6)</f>
        <v>0</v>
      </c>
      <c r="G6" s="395">
        <v>0</v>
      </c>
      <c r="H6" s="335">
        <f>SUM(F6:G6)</f>
        <v>0</v>
      </c>
      <c r="I6" s="197">
        <v>1</v>
      </c>
      <c r="J6" s="150">
        <v>0</v>
      </c>
      <c r="K6" s="150">
        <v>0</v>
      </c>
      <c r="L6" s="332">
        <v>0</v>
      </c>
      <c r="M6" s="335">
        <f t="shared" ref="M6:M27" si="0">SUM(H6,I6,J6,K6,L6)</f>
        <v>1</v>
      </c>
      <c r="N6" s="395">
        <v>0</v>
      </c>
      <c r="O6" s="335">
        <f>SUM(M6,N6)</f>
        <v>1</v>
      </c>
    </row>
    <row r="7" spans="1:17" x14ac:dyDescent="0.25">
      <c r="A7" s="332" t="s">
        <v>23</v>
      </c>
      <c r="B7" s="150">
        <v>0</v>
      </c>
      <c r="C7" s="150">
        <v>0</v>
      </c>
      <c r="D7" s="150">
        <v>0</v>
      </c>
      <c r="E7" s="332">
        <v>0</v>
      </c>
      <c r="F7" s="317">
        <f t="shared" ref="F7:F27" si="1">SUM(B7:E7)</f>
        <v>0</v>
      </c>
      <c r="G7" s="395">
        <v>0</v>
      </c>
      <c r="H7" s="335">
        <f t="shared" ref="H7:H27" si="2">SUM(F7:G7)</f>
        <v>0</v>
      </c>
      <c r="I7" s="197">
        <v>0</v>
      </c>
      <c r="J7" s="150">
        <v>0</v>
      </c>
      <c r="K7" s="150">
        <v>0</v>
      </c>
      <c r="L7" s="329">
        <v>0</v>
      </c>
      <c r="M7" s="335">
        <f t="shared" si="0"/>
        <v>0</v>
      </c>
      <c r="N7" s="395">
        <v>0</v>
      </c>
      <c r="O7" s="335">
        <f t="shared" ref="O7:O27" si="3">SUM(M7,N7)</f>
        <v>0</v>
      </c>
    </row>
    <row r="8" spans="1:17" x14ac:dyDescent="0.25">
      <c r="A8" s="332" t="s">
        <v>186</v>
      </c>
      <c r="B8" s="308">
        <v>0</v>
      </c>
      <c r="C8" s="308">
        <v>0</v>
      </c>
      <c r="D8" s="308">
        <v>0</v>
      </c>
      <c r="E8" s="329">
        <v>0</v>
      </c>
      <c r="F8" s="317">
        <f t="shared" si="1"/>
        <v>0</v>
      </c>
      <c r="G8" s="338">
        <v>0</v>
      </c>
      <c r="H8" s="335">
        <f t="shared" si="2"/>
        <v>0</v>
      </c>
      <c r="I8" s="330">
        <v>0</v>
      </c>
      <c r="J8" s="308">
        <v>0</v>
      </c>
      <c r="K8" s="308">
        <v>0</v>
      </c>
      <c r="L8" s="329">
        <v>0</v>
      </c>
      <c r="M8" s="335">
        <f t="shared" si="0"/>
        <v>0</v>
      </c>
      <c r="N8" s="338">
        <v>0</v>
      </c>
      <c r="O8" s="335">
        <f t="shared" si="3"/>
        <v>0</v>
      </c>
    </row>
    <row r="9" spans="1:17" ht="14.25" thickBot="1" x14ac:dyDescent="0.3">
      <c r="A9" s="422" t="s">
        <v>291</v>
      </c>
      <c r="B9" s="150">
        <v>0</v>
      </c>
      <c r="C9" s="150">
        <v>0</v>
      </c>
      <c r="D9" s="150">
        <v>0</v>
      </c>
      <c r="E9" s="332">
        <v>0</v>
      </c>
      <c r="F9" s="317">
        <f>SUM(B9:E9)</f>
        <v>0</v>
      </c>
      <c r="G9" s="395">
        <v>1</v>
      </c>
      <c r="H9" s="335">
        <f>SUM(F9:G9)</f>
        <v>1</v>
      </c>
      <c r="I9" s="197">
        <v>0</v>
      </c>
      <c r="J9" s="150">
        <v>0</v>
      </c>
      <c r="K9" s="150">
        <v>0</v>
      </c>
      <c r="L9" s="332">
        <v>0</v>
      </c>
      <c r="M9" s="335">
        <f t="shared" si="0"/>
        <v>1</v>
      </c>
      <c r="N9" s="395">
        <v>0</v>
      </c>
      <c r="O9" s="397">
        <f t="shared" si="3"/>
        <v>1</v>
      </c>
    </row>
    <row r="10" spans="1:17" ht="14.25" thickBot="1" x14ac:dyDescent="0.3">
      <c r="A10" s="423" t="s">
        <v>25</v>
      </c>
      <c r="B10" s="184">
        <f>SUM(B6:B9)</f>
        <v>0</v>
      </c>
      <c r="C10" s="184">
        <f t="shared" ref="C10:L10" si="4">SUM(C6:C9)</f>
        <v>0</v>
      </c>
      <c r="D10" s="184">
        <f t="shared" si="4"/>
        <v>0</v>
      </c>
      <c r="E10" s="249">
        <f t="shared" si="4"/>
        <v>0</v>
      </c>
      <c r="F10" s="345">
        <f t="shared" si="1"/>
        <v>0</v>
      </c>
      <c r="G10" s="337">
        <f t="shared" si="4"/>
        <v>1</v>
      </c>
      <c r="H10" s="319">
        <f t="shared" si="2"/>
        <v>1</v>
      </c>
      <c r="I10" s="204">
        <f t="shared" si="4"/>
        <v>1</v>
      </c>
      <c r="J10" s="184">
        <f t="shared" si="4"/>
        <v>0</v>
      </c>
      <c r="K10" s="184">
        <f t="shared" si="4"/>
        <v>0</v>
      </c>
      <c r="L10" s="249">
        <f t="shared" si="4"/>
        <v>0</v>
      </c>
      <c r="M10" s="319">
        <f t="shared" si="0"/>
        <v>2</v>
      </c>
      <c r="N10" s="337">
        <f>SUM(N6:N9)</f>
        <v>0</v>
      </c>
      <c r="O10" s="319">
        <f t="shared" si="3"/>
        <v>2</v>
      </c>
    </row>
    <row r="11" spans="1:17" hidden="1" x14ac:dyDescent="0.25">
      <c r="A11" s="802" t="s">
        <v>26</v>
      </c>
      <c r="B11" s="660"/>
      <c r="C11" s="660"/>
      <c r="D11" s="660"/>
      <c r="E11" s="790"/>
      <c r="F11" s="789"/>
      <c r="G11" s="795"/>
      <c r="H11" s="794"/>
      <c r="I11" s="791"/>
      <c r="J11" s="660"/>
      <c r="K11" s="660"/>
      <c r="L11" s="790"/>
      <c r="M11" s="794"/>
      <c r="N11" s="795"/>
      <c r="O11" s="801"/>
    </row>
    <row r="12" spans="1:17" x14ac:dyDescent="0.25">
      <c r="A12" s="332" t="s">
        <v>187</v>
      </c>
      <c r="B12" s="150">
        <v>0</v>
      </c>
      <c r="C12" s="150">
        <v>0</v>
      </c>
      <c r="D12" s="150">
        <v>0</v>
      </c>
      <c r="E12" s="332">
        <v>0</v>
      </c>
      <c r="F12" s="317">
        <f>SUM(B12:E12)</f>
        <v>0</v>
      </c>
      <c r="G12" s="395">
        <v>0</v>
      </c>
      <c r="H12" s="335">
        <f>SUM(F12:G12)</f>
        <v>0</v>
      </c>
      <c r="I12" s="197">
        <v>0</v>
      </c>
      <c r="J12" s="150">
        <v>0</v>
      </c>
      <c r="K12" s="150">
        <v>0</v>
      </c>
      <c r="L12" s="332">
        <v>0</v>
      </c>
      <c r="M12" s="335">
        <f t="shared" si="0"/>
        <v>0</v>
      </c>
      <c r="N12" s="395">
        <v>0</v>
      </c>
      <c r="O12" s="335">
        <f t="shared" si="3"/>
        <v>0</v>
      </c>
    </row>
    <row r="13" spans="1:17" x14ac:dyDescent="0.25">
      <c r="A13" s="332" t="s">
        <v>28</v>
      </c>
      <c r="B13" s="150">
        <v>0</v>
      </c>
      <c r="C13" s="150">
        <v>0</v>
      </c>
      <c r="D13" s="150">
        <v>0</v>
      </c>
      <c r="E13" s="332">
        <v>0</v>
      </c>
      <c r="F13" s="317">
        <f>SUM(B13:E13)</f>
        <v>0</v>
      </c>
      <c r="G13" s="395">
        <v>0</v>
      </c>
      <c r="H13" s="335">
        <f>SUM(F13:G13)</f>
        <v>0</v>
      </c>
      <c r="I13" s="197">
        <v>0</v>
      </c>
      <c r="J13" s="150">
        <v>0</v>
      </c>
      <c r="K13" s="150">
        <v>0</v>
      </c>
      <c r="L13" s="332">
        <v>0</v>
      </c>
      <c r="M13" s="335">
        <f t="shared" si="0"/>
        <v>0</v>
      </c>
      <c r="N13" s="395">
        <v>0</v>
      </c>
      <c r="O13" s="335">
        <f t="shared" si="3"/>
        <v>0</v>
      </c>
    </row>
    <row r="14" spans="1:17" x14ac:dyDescent="0.25">
      <c r="A14" s="332" t="s">
        <v>29</v>
      </c>
      <c r="B14" s="150">
        <v>2</v>
      </c>
      <c r="C14" s="150">
        <v>1</v>
      </c>
      <c r="D14" s="150">
        <v>0</v>
      </c>
      <c r="E14" s="332">
        <v>0</v>
      </c>
      <c r="F14" s="317">
        <f t="shared" si="1"/>
        <v>3</v>
      </c>
      <c r="G14" s="395">
        <v>1</v>
      </c>
      <c r="H14" s="335">
        <f t="shared" si="2"/>
        <v>4</v>
      </c>
      <c r="I14" s="197">
        <v>0</v>
      </c>
      <c r="J14" s="150">
        <v>0</v>
      </c>
      <c r="K14" s="150">
        <v>0</v>
      </c>
      <c r="L14" s="332">
        <v>0</v>
      </c>
      <c r="M14" s="335">
        <f t="shared" si="0"/>
        <v>4</v>
      </c>
      <c r="N14" s="395">
        <v>0</v>
      </c>
      <c r="O14" s="335">
        <f t="shared" si="3"/>
        <v>4</v>
      </c>
    </row>
    <row r="15" spans="1:17" x14ac:dyDescent="0.25">
      <c r="A15" s="332" t="s">
        <v>188</v>
      </c>
      <c r="B15" s="150">
        <v>7</v>
      </c>
      <c r="C15" s="150">
        <v>0</v>
      </c>
      <c r="D15" s="150">
        <v>0</v>
      </c>
      <c r="E15" s="332">
        <v>0</v>
      </c>
      <c r="F15" s="317">
        <f>SUM(B15:E15)</f>
        <v>7</v>
      </c>
      <c r="G15" s="395">
        <v>0</v>
      </c>
      <c r="H15" s="335">
        <f>SUM(F15:G15)</f>
        <v>7</v>
      </c>
      <c r="I15" s="197">
        <v>0</v>
      </c>
      <c r="J15" s="150">
        <v>0</v>
      </c>
      <c r="K15" s="150">
        <v>0</v>
      </c>
      <c r="L15" s="332">
        <v>0</v>
      </c>
      <c r="M15" s="335">
        <f t="shared" si="0"/>
        <v>7</v>
      </c>
      <c r="N15" s="395">
        <v>0</v>
      </c>
      <c r="O15" s="335">
        <f t="shared" si="3"/>
        <v>7</v>
      </c>
    </row>
    <row r="16" spans="1:17" ht="14.25" thickBot="1" x14ac:dyDescent="0.3">
      <c r="A16" s="336" t="s">
        <v>292</v>
      </c>
      <c r="B16" s="150">
        <v>2</v>
      </c>
      <c r="C16" s="150">
        <v>0</v>
      </c>
      <c r="D16" s="150">
        <v>0</v>
      </c>
      <c r="E16" s="332">
        <v>0</v>
      </c>
      <c r="F16" s="317">
        <f>SUM(B16:E16)</f>
        <v>2</v>
      </c>
      <c r="G16" s="395">
        <v>0</v>
      </c>
      <c r="H16" s="335">
        <f>SUM(F16:G16)</f>
        <v>2</v>
      </c>
      <c r="I16" s="197">
        <v>0</v>
      </c>
      <c r="J16" s="150">
        <v>0</v>
      </c>
      <c r="K16" s="150">
        <v>0</v>
      </c>
      <c r="L16" s="332">
        <v>0</v>
      </c>
      <c r="M16" s="335">
        <f t="shared" si="0"/>
        <v>2</v>
      </c>
      <c r="N16" s="395">
        <v>0</v>
      </c>
      <c r="O16" s="397">
        <f t="shared" si="3"/>
        <v>2</v>
      </c>
    </row>
    <row r="17" spans="1:15" ht="14.25" thickBot="1" x14ac:dyDescent="0.3">
      <c r="A17" s="424" t="s">
        <v>30</v>
      </c>
      <c r="B17" s="184">
        <f>SUM(B11:B16)</f>
        <v>11</v>
      </c>
      <c r="C17" s="184">
        <f t="shared" ref="C17:L17" si="5">SUM(C11:C16)</f>
        <v>1</v>
      </c>
      <c r="D17" s="184">
        <f t="shared" si="5"/>
        <v>0</v>
      </c>
      <c r="E17" s="249">
        <f t="shared" si="5"/>
        <v>0</v>
      </c>
      <c r="F17" s="345">
        <f t="shared" si="1"/>
        <v>12</v>
      </c>
      <c r="G17" s="337">
        <f t="shared" si="5"/>
        <v>1</v>
      </c>
      <c r="H17" s="319">
        <f t="shared" si="2"/>
        <v>13</v>
      </c>
      <c r="I17" s="204">
        <f t="shared" si="5"/>
        <v>0</v>
      </c>
      <c r="J17" s="184">
        <f t="shared" si="5"/>
        <v>0</v>
      </c>
      <c r="K17" s="184">
        <f t="shared" si="5"/>
        <v>0</v>
      </c>
      <c r="L17" s="249">
        <f t="shared" si="5"/>
        <v>0</v>
      </c>
      <c r="M17" s="319">
        <f t="shared" si="0"/>
        <v>13</v>
      </c>
      <c r="N17" s="337">
        <f>SUM(N11:N16)</f>
        <v>0</v>
      </c>
      <c r="O17" s="319">
        <f t="shared" si="3"/>
        <v>13</v>
      </c>
    </row>
    <row r="18" spans="1:15" x14ac:dyDescent="0.25">
      <c r="A18" s="327" t="s">
        <v>317</v>
      </c>
      <c r="B18" s="150">
        <v>0</v>
      </c>
      <c r="C18" s="150">
        <v>0</v>
      </c>
      <c r="D18" s="150">
        <v>0</v>
      </c>
      <c r="E18" s="332">
        <v>0</v>
      </c>
      <c r="F18" s="317">
        <f>SUM(B18:E18)</f>
        <v>0</v>
      </c>
      <c r="G18" s="395">
        <v>0</v>
      </c>
      <c r="H18" s="335">
        <f>SUM(F18:G18)</f>
        <v>0</v>
      </c>
      <c r="I18" s="197">
        <v>0</v>
      </c>
      <c r="J18" s="150">
        <v>0</v>
      </c>
      <c r="K18" s="150">
        <v>0</v>
      </c>
      <c r="L18" s="332">
        <v>0</v>
      </c>
      <c r="M18" s="335">
        <f t="shared" si="0"/>
        <v>0</v>
      </c>
      <c r="N18" s="395">
        <v>0</v>
      </c>
      <c r="O18" s="398">
        <f t="shared" si="3"/>
        <v>0</v>
      </c>
    </row>
    <row r="19" spans="1:15" x14ac:dyDescent="0.25">
      <c r="A19" s="329" t="s">
        <v>316</v>
      </c>
      <c r="B19" s="150">
        <v>0</v>
      </c>
      <c r="C19" s="150">
        <v>0</v>
      </c>
      <c r="D19" s="150">
        <v>0</v>
      </c>
      <c r="E19" s="332">
        <v>0</v>
      </c>
      <c r="F19" s="317">
        <f>SUM(B19:E19)</f>
        <v>0</v>
      </c>
      <c r="G19" s="395">
        <v>0</v>
      </c>
      <c r="H19" s="335">
        <f>SUM(F19:G19)</f>
        <v>0</v>
      </c>
      <c r="I19" s="197">
        <v>0</v>
      </c>
      <c r="J19" s="150">
        <v>0</v>
      </c>
      <c r="K19" s="150">
        <v>0</v>
      </c>
      <c r="L19" s="332">
        <v>0</v>
      </c>
      <c r="M19" s="335">
        <f t="shared" si="0"/>
        <v>0</v>
      </c>
      <c r="N19" s="395">
        <v>0</v>
      </c>
      <c r="O19" s="335">
        <f t="shared" si="3"/>
        <v>0</v>
      </c>
    </row>
    <row r="20" spans="1:15" x14ac:dyDescent="0.25">
      <c r="A20" s="332" t="s">
        <v>289</v>
      </c>
      <c r="B20" s="150">
        <v>1</v>
      </c>
      <c r="C20" s="150">
        <v>1</v>
      </c>
      <c r="D20" s="150">
        <v>0</v>
      </c>
      <c r="E20" s="332">
        <v>0</v>
      </c>
      <c r="F20" s="317">
        <f>SUM(B20:E20)</f>
        <v>2</v>
      </c>
      <c r="G20" s="395">
        <v>0</v>
      </c>
      <c r="H20" s="335">
        <f>SUM(F20:G20)</f>
        <v>2</v>
      </c>
      <c r="I20" s="197">
        <v>0</v>
      </c>
      <c r="J20" s="150">
        <v>0</v>
      </c>
      <c r="K20" s="150">
        <v>0</v>
      </c>
      <c r="L20" s="332">
        <v>0</v>
      </c>
      <c r="M20" s="335">
        <f t="shared" si="0"/>
        <v>2</v>
      </c>
      <c r="N20" s="395">
        <v>1</v>
      </c>
      <c r="O20" s="335">
        <f t="shared" si="3"/>
        <v>3</v>
      </c>
    </row>
    <row r="21" spans="1:15" x14ac:dyDescent="0.25">
      <c r="A21" s="332" t="s">
        <v>290</v>
      </c>
      <c r="B21" s="308">
        <v>0</v>
      </c>
      <c r="C21" s="308">
        <v>0</v>
      </c>
      <c r="D21" s="308">
        <v>0</v>
      </c>
      <c r="E21" s="329">
        <v>0</v>
      </c>
      <c r="F21" s="317">
        <f t="shared" si="1"/>
        <v>0</v>
      </c>
      <c r="G21" s="338">
        <v>0</v>
      </c>
      <c r="H21" s="335">
        <f t="shared" si="2"/>
        <v>0</v>
      </c>
      <c r="I21" s="330">
        <v>0</v>
      </c>
      <c r="J21" s="308">
        <v>0</v>
      </c>
      <c r="K21" s="308">
        <v>0</v>
      </c>
      <c r="L21" s="329">
        <v>0</v>
      </c>
      <c r="M21" s="335">
        <f t="shared" si="0"/>
        <v>0</v>
      </c>
      <c r="N21" s="338">
        <v>0</v>
      </c>
      <c r="O21" s="335">
        <f t="shared" si="3"/>
        <v>0</v>
      </c>
    </row>
    <row r="22" spans="1:15" ht="14.25" thickBot="1" x14ac:dyDescent="0.3">
      <c r="A22" s="325" t="s">
        <v>51</v>
      </c>
      <c r="B22" s="150">
        <v>0</v>
      </c>
      <c r="C22" s="150">
        <v>0</v>
      </c>
      <c r="D22" s="150">
        <v>0</v>
      </c>
      <c r="E22" s="332">
        <v>0</v>
      </c>
      <c r="F22" s="317">
        <f>SUM(B22:E22)</f>
        <v>0</v>
      </c>
      <c r="G22" s="395">
        <v>0</v>
      </c>
      <c r="H22" s="335">
        <f>SUM(F22:G22)</f>
        <v>0</v>
      </c>
      <c r="I22" s="197">
        <v>0</v>
      </c>
      <c r="J22" s="150">
        <v>0</v>
      </c>
      <c r="K22" s="150">
        <v>0</v>
      </c>
      <c r="L22" s="332">
        <v>0</v>
      </c>
      <c r="M22" s="335">
        <f t="shared" si="0"/>
        <v>0</v>
      </c>
      <c r="N22" s="395">
        <v>0</v>
      </c>
      <c r="O22" s="335">
        <f t="shared" si="3"/>
        <v>0</v>
      </c>
    </row>
    <row r="23" spans="1:15" ht="14.25" thickBot="1" x14ac:dyDescent="0.3">
      <c r="A23" s="425" t="s">
        <v>31</v>
      </c>
      <c r="B23" s="184">
        <f>SUM(B18:B22)</f>
        <v>1</v>
      </c>
      <c r="C23" s="184">
        <f t="shared" ref="C23:L23" si="6">SUM(C18:C22)</f>
        <v>1</v>
      </c>
      <c r="D23" s="184">
        <f t="shared" si="6"/>
        <v>0</v>
      </c>
      <c r="E23" s="249">
        <f t="shared" si="6"/>
        <v>0</v>
      </c>
      <c r="F23" s="319">
        <f t="shared" si="1"/>
        <v>2</v>
      </c>
      <c r="G23" s="337">
        <f t="shared" si="6"/>
        <v>0</v>
      </c>
      <c r="H23" s="319">
        <f t="shared" si="2"/>
        <v>2</v>
      </c>
      <c r="I23" s="204">
        <f t="shared" si="6"/>
        <v>0</v>
      </c>
      <c r="J23" s="184">
        <f t="shared" si="6"/>
        <v>0</v>
      </c>
      <c r="K23" s="184">
        <f t="shared" si="6"/>
        <v>0</v>
      </c>
      <c r="L23" s="249">
        <f t="shared" si="6"/>
        <v>0</v>
      </c>
      <c r="M23" s="319">
        <f t="shared" si="0"/>
        <v>2</v>
      </c>
      <c r="N23" s="337">
        <f>SUM(N18:N22)</f>
        <v>1</v>
      </c>
      <c r="O23" s="319">
        <f t="shared" si="3"/>
        <v>3</v>
      </c>
    </row>
    <row r="24" spans="1:15" x14ac:dyDescent="0.25">
      <c r="A24" s="327" t="s">
        <v>32</v>
      </c>
      <c r="B24" s="150">
        <v>0</v>
      </c>
      <c r="C24" s="150">
        <v>0</v>
      </c>
      <c r="D24" s="150">
        <v>0</v>
      </c>
      <c r="E24" s="332">
        <v>0</v>
      </c>
      <c r="F24" s="317">
        <f>SUM(B24:E24)</f>
        <v>0</v>
      </c>
      <c r="G24" s="395">
        <v>0</v>
      </c>
      <c r="H24" s="335">
        <f>SUM(F24:G24)</f>
        <v>0</v>
      </c>
      <c r="I24" s="197">
        <v>5</v>
      </c>
      <c r="J24" s="150">
        <v>0</v>
      </c>
      <c r="K24" s="150">
        <v>0</v>
      </c>
      <c r="L24" s="332">
        <v>3</v>
      </c>
      <c r="M24" s="335">
        <f t="shared" si="0"/>
        <v>8</v>
      </c>
      <c r="N24" s="935">
        <v>0</v>
      </c>
      <c r="O24" s="335">
        <f t="shared" si="3"/>
        <v>8</v>
      </c>
    </row>
    <row r="25" spans="1:15" ht="14.25" thickBot="1" x14ac:dyDescent="0.3">
      <c r="A25" s="325" t="s">
        <v>33</v>
      </c>
      <c r="B25" s="227">
        <v>0</v>
      </c>
      <c r="C25" s="227">
        <v>0</v>
      </c>
      <c r="D25" s="227">
        <v>2</v>
      </c>
      <c r="E25" s="336">
        <v>1</v>
      </c>
      <c r="F25" s="400">
        <f t="shared" si="1"/>
        <v>3</v>
      </c>
      <c r="G25" s="402">
        <v>0</v>
      </c>
      <c r="H25" s="397">
        <f t="shared" si="2"/>
        <v>3</v>
      </c>
      <c r="I25" s="225">
        <v>0</v>
      </c>
      <c r="J25" s="227">
        <v>0</v>
      </c>
      <c r="K25" s="227">
        <v>0</v>
      </c>
      <c r="L25" s="336">
        <v>0</v>
      </c>
      <c r="M25" s="397">
        <f t="shared" si="0"/>
        <v>3</v>
      </c>
      <c r="N25" s="935">
        <v>0</v>
      </c>
      <c r="O25" s="397">
        <f t="shared" si="3"/>
        <v>3</v>
      </c>
    </row>
    <row r="26" spans="1:15" ht="14.25" thickBot="1" x14ac:dyDescent="0.3">
      <c r="A26" s="426" t="s">
        <v>34</v>
      </c>
      <c r="B26" s="258">
        <f>SUM(B24:B25)</f>
        <v>0</v>
      </c>
      <c r="C26" s="258">
        <f>SUM(C24:C25)</f>
        <v>0</v>
      </c>
      <c r="D26" s="258">
        <f>SUM(D24:D25)</f>
        <v>2</v>
      </c>
      <c r="E26" s="333">
        <f>SUM(E24:E25)</f>
        <v>1</v>
      </c>
      <c r="F26" s="403">
        <f t="shared" si="1"/>
        <v>3</v>
      </c>
      <c r="G26" s="404">
        <f>SUM(G24:G25)</f>
        <v>0</v>
      </c>
      <c r="H26" s="403">
        <f t="shared" si="2"/>
        <v>3</v>
      </c>
      <c r="I26" s="405">
        <f>SUM(I24:I25)</f>
        <v>5</v>
      </c>
      <c r="J26" s="258">
        <f>SUM(J24:J25)</f>
        <v>0</v>
      </c>
      <c r="K26" s="258">
        <f>SUM(K24:K25)</f>
        <v>0</v>
      </c>
      <c r="L26" s="333">
        <f>SUM(L24:L25)</f>
        <v>3</v>
      </c>
      <c r="M26" s="403">
        <f t="shared" si="0"/>
        <v>11</v>
      </c>
      <c r="N26" s="404">
        <f>SUM(N24:N25)</f>
        <v>0</v>
      </c>
      <c r="O26" s="403">
        <f t="shared" si="3"/>
        <v>11</v>
      </c>
    </row>
    <row r="27" spans="1:15" ht="14.25" thickBot="1" x14ac:dyDescent="0.3">
      <c r="A27" s="314" t="s">
        <v>189</v>
      </c>
      <c r="B27" s="184">
        <f>B10+B17+B23+B26</f>
        <v>12</v>
      </c>
      <c r="C27" s="184">
        <f>C10+C17+C23+C26</f>
        <v>2</v>
      </c>
      <c r="D27" s="184">
        <f>D10+D17+D23+D26</f>
        <v>2</v>
      </c>
      <c r="E27" s="249">
        <f>E10+E17+E23+E26</f>
        <v>1</v>
      </c>
      <c r="F27" s="319">
        <f t="shared" si="1"/>
        <v>17</v>
      </c>
      <c r="G27" s="337">
        <f>G10+G17+G23+G26</f>
        <v>2</v>
      </c>
      <c r="H27" s="319">
        <f t="shared" si="2"/>
        <v>19</v>
      </c>
      <c r="I27" s="204">
        <f>I10+I17+I23+I26</f>
        <v>6</v>
      </c>
      <c r="J27" s="184">
        <f>J10+J17+J23+J26</f>
        <v>0</v>
      </c>
      <c r="K27" s="184">
        <f>K10+K17+K23+K26</f>
        <v>0</v>
      </c>
      <c r="L27" s="249">
        <f>L10+L17+L23+L26</f>
        <v>3</v>
      </c>
      <c r="M27" s="319">
        <f t="shared" si="0"/>
        <v>28</v>
      </c>
      <c r="N27" s="337">
        <f>N10+N17+N23+N26</f>
        <v>1</v>
      </c>
      <c r="O27" s="319">
        <f t="shared" si="3"/>
        <v>29</v>
      </c>
    </row>
    <row r="28" spans="1:15" ht="14.25" hidden="1" thickBot="1" x14ac:dyDescent="0.3">
      <c r="A28" s="798" t="s">
        <v>206</v>
      </c>
      <c r="B28" s="660"/>
      <c r="C28" s="660"/>
      <c r="D28" s="660"/>
      <c r="E28" s="790"/>
      <c r="F28" s="789"/>
      <c r="G28" s="795"/>
      <c r="H28" s="794"/>
      <c r="I28" s="791"/>
      <c r="J28" s="660"/>
      <c r="K28" s="660"/>
      <c r="L28" s="790"/>
      <c r="M28" s="794"/>
      <c r="N28" s="795"/>
      <c r="O28" s="799"/>
    </row>
    <row r="29" spans="1:15" ht="14.25" thickBot="1" x14ac:dyDescent="0.3">
      <c r="A29" s="187" t="s">
        <v>207</v>
      </c>
      <c r="B29" s="184">
        <f>B27+B28</f>
        <v>12</v>
      </c>
      <c r="C29" s="184">
        <f t="shared" ref="C29:O29" si="7">C27+C28</f>
        <v>2</v>
      </c>
      <c r="D29" s="184">
        <f t="shared" si="7"/>
        <v>2</v>
      </c>
      <c r="E29" s="249">
        <f t="shared" si="7"/>
        <v>1</v>
      </c>
      <c r="F29" s="319">
        <f t="shared" si="7"/>
        <v>17</v>
      </c>
      <c r="G29" s="337">
        <f t="shared" si="7"/>
        <v>2</v>
      </c>
      <c r="H29" s="319">
        <f t="shared" si="7"/>
        <v>19</v>
      </c>
      <c r="I29" s="204">
        <f t="shared" si="7"/>
        <v>6</v>
      </c>
      <c r="J29" s="184">
        <f t="shared" si="7"/>
        <v>0</v>
      </c>
      <c r="K29" s="184">
        <f t="shared" si="7"/>
        <v>0</v>
      </c>
      <c r="L29" s="249">
        <f t="shared" si="7"/>
        <v>3</v>
      </c>
      <c r="M29" s="319">
        <f t="shared" si="7"/>
        <v>28</v>
      </c>
      <c r="N29" s="337">
        <f t="shared" si="7"/>
        <v>1</v>
      </c>
      <c r="O29" s="319">
        <f t="shared" si="7"/>
        <v>29</v>
      </c>
    </row>
    <row r="30" spans="1:15" ht="14.25" thickBot="1" x14ac:dyDescent="0.3">
      <c r="N30" s="291"/>
    </row>
    <row r="31" spans="1:15" ht="14.25" thickBot="1" x14ac:dyDescent="0.3">
      <c r="A31" s="314">
        <f>O29</f>
        <v>29</v>
      </c>
      <c r="B31" s="406" t="s">
        <v>116</v>
      </c>
      <c r="C31" s="406"/>
      <c r="D31" s="407"/>
      <c r="E31" s="408">
        <f>'Anlage 1a'!H45</f>
        <v>882</v>
      </c>
      <c r="F31" s="406" t="s">
        <v>117</v>
      </c>
      <c r="G31" s="407"/>
      <c r="H31" s="409" t="s">
        <v>118</v>
      </c>
      <c r="I31" s="406"/>
      <c r="J31" s="406"/>
      <c r="K31" s="406"/>
      <c r="L31" s="406"/>
      <c r="M31" s="406"/>
      <c r="N31" s="410">
        <f>A31/E31*100</f>
        <v>3.2879818594104306</v>
      </c>
      <c r="O31" s="320" t="s">
        <v>50</v>
      </c>
    </row>
  </sheetData>
  <customSheetViews>
    <customSheetView guid="{0224233B-564D-4BBC-A6B2-E639E6D2CFB3}" showPageBreaks="1" fitToPage="1" showRuler="0">
      <selection activeCell="C48" sqref="C48"/>
      <pageMargins left="0.78740157499999996" right="0.78740157499999996" top="0.984251969" bottom="0.984251969" header="0.4921259845" footer="0.4921259845"/>
      <pageSetup paperSize="9" scale="91" orientation="landscape" r:id="rId1"/>
      <headerFooter alignWithMargins="0">
        <oddFooter>&amp;Z&amp;F&amp;RSeite &amp;P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89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view="pageLayout" zoomScaleNormal="110" zoomScaleSheetLayoutView="100" workbookViewId="0">
      <selection activeCell="G29" sqref="G29"/>
    </sheetView>
  </sheetViews>
  <sheetFormatPr baseColWidth="10" defaultRowHeight="13.5" x14ac:dyDescent="0.25"/>
  <cols>
    <col min="1" max="1" width="22.42578125" style="3" bestFit="1" customWidth="1"/>
    <col min="2" max="15" width="7.28515625" style="3" customWidth="1"/>
    <col min="16" max="16384" width="11.42578125" style="3"/>
  </cols>
  <sheetData>
    <row r="1" spans="1:17" ht="15.75" x14ac:dyDescent="0.25">
      <c r="A1" s="312" t="s">
        <v>333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>
      <c r="F4" s="121"/>
    </row>
    <row r="5" spans="1:17" ht="98.25" thickBot="1" x14ac:dyDescent="0.3">
      <c r="A5" s="411" t="s">
        <v>192</v>
      </c>
      <c r="B5" s="417" t="s">
        <v>102</v>
      </c>
      <c r="C5" s="417" t="s">
        <v>103</v>
      </c>
      <c r="D5" s="417" t="s">
        <v>104</v>
      </c>
      <c r="E5" s="418" t="s">
        <v>105</v>
      </c>
      <c r="F5" s="414" t="s">
        <v>106</v>
      </c>
      <c r="G5" s="430" t="s">
        <v>107</v>
      </c>
      <c r="H5" s="419" t="s">
        <v>108</v>
      </c>
      <c r="I5" s="417" t="s">
        <v>109</v>
      </c>
      <c r="J5" s="417" t="s">
        <v>110</v>
      </c>
      <c r="K5" s="417" t="s">
        <v>111</v>
      </c>
      <c r="L5" s="418" t="s">
        <v>112</v>
      </c>
      <c r="M5" s="419" t="s">
        <v>113</v>
      </c>
      <c r="N5" s="419" t="s">
        <v>114</v>
      </c>
      <c r="O5" s="420" t="s">
        <v>115</v>
      </c>
    </row>
    <row r="6" spans="1:17" x14ac:dyDescent="0.25">
      <c r="A6" s="421" t="s">
        <v>185</v>
      </c>
      <c r="B6" s="150">
        <v>0</v>
      </c>
      <c r="C6" s="150">
        <v>0</v>
      </c>
      <c r="D6" s="150">
        <v>0</v>
      </c>
      <c r="E6" s="332">
        <v>0</v>
      </c>
      <c r="F6" s="328">
        <f t="shared" ref="F6:F27" si="0">SUM(B6:E6)</f>
        <v>0</v>
      </c>
      <c r="G6" s="395">
        <v>0</v>
      </c>
      <c r="H6" s="335">
        <f>SUM(F6:G6)</f>
        <v>0</v>
      </c>
      <c r="I6" s="197">
        <v>0</v>
      </c>
      <c r="J6" s="150">
        <v>0</v>
      </c>
      <c r="K6" s="150">
        <v>0</v>
      </c>
      <c r="L6" s="332">
        <v>0</v>
      </c>
      <c r="M6" s="335">
        <f>SUM(H6,I6,J6,K6,L6)</f>
        <v>0</v>
      </c>
      <c r="N6" s="395">
        <v>0</v>
      </c>
      <c r="O6" s="335">
        <f>SUM(M6,N6)</f>
        <v>0</v>
      </c>
    </row>
    <row r="7" spans="1:17" x14ac:dyDescent="0.25">
      <c r="A7" s="332" t="s">
        <v>23</v>
      </c>
      <c r="B7" s="150">
        <v>0</v>
      </c>
      <c r="C7" s="150">
        <v>0</v>
      </c>
      <c r="D7" s="150">
        <v>1</v>
      </c>
      <c r="E7" s="332">
        <v>0</v>
      </c>
      <c r="F7" s="317">
        <f t="shared" si="0"/>
        <v>1</v>
      </c>
      <c r="G7" s="395">
        <v>0</v>
      </c>
      <c r="H7" s="335">
        <f t="shared" ref="H7:H27" si="1">SUM(F7:G7)</f>
        <v>1</v>
      </c>
      <c r="I7" s="197">
        <v>1</v>
      </c>
      <c r="J7" s="150">
        <v>0</v>
      </c>
      <c r="K7" s="150">
        <v>0</v>
      </c>
      <c r="L7" s="329">
        <v>0</v>
      </c>
      <c r="M7" s="335">
        <f t="shared" ref="M7:M27" si="2">SUM(H7,I7,J7,K7,L7)</f>
        <v>2</v>
      </c>
      <c r="N7" s="395">
        <v>0</v>
      </c>
      <c r="O7" s="335">
        <f t="shared" ref="O7:O27" si="3">SUM(M7,N7)</f>
        <v>2</v>
      </c>
    </row>
    <row r="8" spans="1:17" x14ac:dyDescent="0.25">
      <c r="A8" s="332" t="s">
        <v>186</v>
      </c>
      <c r="B8" s="308">
        <v>0</v>
      </c>
      <c r="C8" s="308">
        <v>0</v>
      </c>
      <c r="D8" s="308">
        <v>0</v>
      </c>
      <c r="E8" s="329">
        <v>0</v>
      </c>
      <c r="F8" s="317">
        <f t="shared" si="0"/>
        <v>0</v>
      </c>
      <c r="G8" s="338">
        <v>0</v>
      </c>
      <c r="H8" s="335">
        <f t="shared" si="1"/>
        <v>0</v>
      </c>
      <c r="I8" s="330">
        <v>0</v>
      </c>
      <c r="J8" s="308">
        <v>0</v>
      </c>
      <c r="K8" s="308">
        <v>0</v>
      </c>
      <c r="L8" s="329">
        <v>0</v>
      </c>
      <c r="M8" s="335">
        <f t="shared" si="2"/>
        <v>0</v>
      </c>
      <c r="N8" s="338">
        <v>0</v>
      </c>
      <c r="O8" s="335">
        <f t="shared" si="3"/>
        <v>0</v>
      </c>
    </row>
    <row r="9" spans="1:17" ht="14.25" thickBot="1" x14ac:dyDescent="0.3">
      <c r="A9" s="422" t="s">
        <v>291</v>
      </c>
      <c r="B9" s="150">
        <v>0</v>
      </c>
      <c r="C9" s="150">
        <v>0</v>
      </c>
      <c r="D9" s="150">
        <v>0</v>
      </c>
      <c r="E9" s="332">
        <v>0</v>
      </c>
      <c r="F9" s="317">
        <f t="shared" si="0"/>
        <v>0</v>
      </c>
      <c r="G9" s="395">
        <v>0</v>
      </c>
      <c r="H9" s="335">
        <f>SUM(F9:G9)</f>
        <v>0</v>
      </c>
      <c r="I9" s="197">
        <v>0</v>
      </c>
      <c r="J9" s="150">
        <v>0</v>
      </c>
      <c r="K9" s="150">
        <v>0</v>
      </c>
      <c r="L9" s="332">
        <v>0</v>
      </c>
      <c r="M9" s="335">
        <f>SUM(H9,I9,J9,K9,L9)</f>
        <v>0</v>
      </c>
      <c r="N9" s="395">
        <v>0</v>
      </c>
      <c r="O9" s="397">
        <f t="shared" si="3"/>
        <v>0</v>
      </c>
    </row>
    <row r="10" spans="1:17" ht="14.25" thickBot="1" x14ac:dyDescent="0.3">
      <c r="A10" s="423" t="s">
        <v>25</v>
      </c>
      <c r="B10" s="184">
        <f>SUM(B6:B9)</f>
        <v>0</v>
      </c>
      <c r="C10" s="184">
        <f t="shared" ref="C10:L10" si="4">SUM(C6:C9)</f>
        <v>0</v>
      </c>
      <c r="D10" s="184">
        <f t="shared" si="4"/>
        <v>1</v>
      </c>
      <c r="E10" s="249">
        <f t="shared" si="4"/>
        <v>0</v>
      </c>
      <c r="F10" s="345">
        <f t="shared" si="0"/>
        <v>1</v>
      </c>
      <c r="G10" s="337">
        <f t="shared" si="4"/>
        <v>0</v>
      </c>
      <c r="H10" s="319">
        <f t="shared" si="1"/>
        <v>1</v>
      </c>
      <c r="I10" s="204">
        <f t="shared" si="4"/>
        <v>1</v>
      </c>
      <c r="J10" s="184">
        <f t="shared" si="4"/>
        <v>0</v>
      </c>
      <c r="K10" s="184">
        <f t="shared" si="4"/>
        <v>0</v>
      </c>
      <c r="L10" s="249">
        <f t="shared" si="4"/>
        <v>0</v>
      </c>
      <c r="M10" s="319">
        <f t="shared" si="2"/>
        <v>2</v>
      </c>
      <c r="N10" s="337">
        <f>SUM(N6:N9)</f>
        <v>0</v>
      </c>
      <c r="O10" s="319">
        <f t="shared" si="3"/>
        <v>2</v>
      </c>
    </row>
    <row r="11" spans="1:17" hidden="1" x14ac:dyDescent="0.25">
      <c r="A11" s="802" t="s">
        <v>26</v>
      </c>
      <c r="B11" s="660"/>
      <c r="C11" s="660"/>
      <c r="D11" s="660"/>
      <c r="E11" s="790"/>
      <c r="F11" s="789"/>
      <c r="G11" s="795"/>
      <c r="H11" s="794"/>
      <c r="I11" s="791"/>
      <c r="J11" s="660"/>
      <c r="K11" s="660"/>
      <c r="L11" s="790"/>
      <c r="M11" s="794"/>
      <c r="N11" s="795"/>
      <c r="O11" s="801"/>
    </row>
    <row r="12" spans="1:17" x14ac:dyDescent="0.25">
      <c r="A12" s="332" t="s">
        <v>187</v>
      </c>
      <c r="B12" s="150">
        <v>1</v>
      </c>
      <c r="C12" s="150">
        <v>0</v>
      </c>
      <c r="D12" s="150">
        <v>0</v>
      </c>
      <c r="E12" s="332">
        <v>0</v>
      </c>
      <c r="F12" s="317">
        <f t="shared" si="0"/>
        <v>1</v>
      </c>
      <c r="G12" s="395">
        <v>0</v>
      </c>
      <c r="H12" s="335">
        <f>SUM(F12:G12)</f>
        <v>1</v>
      </c>
      <c r="I12" s="197">
        <v>0</v>
      </c>
      <c r="J12" s="150">
        <v>0</v>
      </c>
      <c r="K12" s="150">
        <v>0</v>
      </c>
      <c r="L12" s="332">
        <v>0</v>
      </c>
      <c r="M12" s="335">
        <f>SUM(H12,I12,J12,K12,L12)</f>
        <v>1</v>
      </c>
      <c r="N12" s="395">
        <v>0</v>
      </c>
      <c r="O12" s="335">
        <f t="shared" si="3"/>
        <v>1</v>
      </c>
    </row>
    <row r="13" spans="1:17" x14ac:dyDescent="0.25">
      <c r="A13" s="332" t="s">
        <v>28</v>
      </c>
      <c r="B13" s="150">
        <v>0</v>
      </c>
      <c r="C13" s="150">
        <v>0</v>
      </c>
      <c r="D13" s="150">
        <v>0</v>
      </c>
      <c r="E13" s="332">
        <v>0</v>
      </c>
      <c r="F13" s="317">
        <f t="shared" si="0"/>
        <v>0</v>
      </c>
      <c r="G13" s="395">
        <v>0</v>
      </c>
      <c r="H13" s="335">
        <f>SUM(F13:G13)</f>
        <v>0</v>
      </c>
      <c r="I13" s="197">
        <v>0</v>
      </c>
      <c r="J13" s="150">
        <v>0</v>
      </c>
      <c r="K13" s="150">
        <v>0</v>
      </c>
      <c r="L13" s="332">
        <v>0</v>
      </c>
      <c r="M13" s="335">
        <f>SUM(H13,I13,J13,K13,L13)</f>
        <v>0</v>
      </c>
      <c r="N13" s="395">
        <v>0</v>
      </c>
      <c r="O13" s="335">
        <f t="shared" si="3"/>
        <v>0</v>
      </c>
    </row>
    <row r="14" spans="1:17" x14ac:dyDescent="0.25">
      <c r="A14" s="332" t="s">
        <v>29</v>
      </c>
      <c r="B14" s="150">
        <v>2</v>
      </c>
      <c r="C14" s="150">
        <v>0</v>
      </c>
      <c r="D14" s="150">
        <v>0</v>
      </c>
      <c r="E14" s="332">
        <v>0</v>
      </c>
      <c r="F14" s="317">
        <f t="shared" si="0"/>
        <v>2</v>
      </c>
      <c r="G14" s="395">
        <v>0</v>
      </c>
      <c r="H14" s="335">
        <f t="shared" si="1"/>
        <v>2</v>
      </c>
      <c r="I14" s="197">
        <v>0</v>
      </c>
      <c r="J14" s="150">
        <v>0</v>
      </c>
      <c r="K14" s="150">
        <v>0</v>
      </c>
      <c r="L14" s="332">
        <v>0</v>
      </c>
      <c r="M14" s="335">
        <f t="shared" si="2"/>
        <v>2</v>
      </c>
      <c r="N14" s="395">
        <v>0</v>
      </c>
      <c r="O14" s="335">
        <f t="shared" si="3"/>
        <v>2</v>
      </c>
    </row>
    <row r="15" spans="1:17" x14ac:dyDescent="0.25">
      <c r="A15" s="332" t="s">
        <v>188</v>
      </c>
      <c r="B15" s="150">
        <v>3</v>
      </c>
      <c r="C15" s="150">
        <v>0</v>
      </c>
      <c r="D15" s="150">
        <v>0</v>
      </c>
      <c r="E15" s="332">
        <v>0</v>
      </c>
      <c r="F15" s="317">
        <f t="shared" si="0"/>
        <v>3</v>
      </c>
      <c r="G15" s="395">
        <v>1</v>
      </c>
      <c r="H15" s="335">
        <f>SUM(F15:G15)</f>
        <v>4</v>
      </c>
      <c r="I15" s="197">
        <v>0</v>
      </c>
      <c r="J15" s="150">
        <v>0</v>
      </c>
      <c r="K15" s="150">
        <v>0</v>
      </c>
      <c r="L15" s="332">
        <v>0</v>
      </c>
      <c r="M15" s="335">
        <f>SUM(H15,I15,J15,K15,L15)</f>
        <v>4</v>
      </c>
      <c r="N15" s="395">
        <v>0</v>
      </c>
      <c r="O15" s="335">
        <f t="shared" si="3"/>
        <v>4</v>
      </c>
    </row>
    <row r="16" spans="1:17" ht="14.25" thickBot="1" x14ac:dyDescent="0.3">
      <c r="A16" s="336" t="s">
        <v>292</v>
      </c>
      <c r="B16" s="399">
        <v>0</v>
      </c>
      <c r="C16" s="399">
        <v>0</v>
      </c>
      <c r="D16" s="399">
        <v>1</v>
      </c>
      <c r="E16" s="325">
        <v>0</v>
      </c>
      <c r="F16" s="400">
        <f t="shared" si="0"/>
        <v>1</v>
      </c>
      <c r="G16" s="401">
        <v>0</v>
      </c>
      <c r="H16" s="397">
        <f t="shared" si="1"/>
        <v>1</v>
      </c>
      <c r="I16" s="324">
        <v>0</v>
      </c>
      <c r="J16" s="399">
        <v>0</v>
      </c>
      <c r="K16" s="399">
        <v>0</v>
      </c>
      <c r="L16" s="325">
        <v>1</v>
      </c>
      <c r="M16" s="397">
        <f t="shared" si="2"/>
        <v>2</v>
      </c>
      <c r="N16" s="401">
        <v>1</v>
      </c>
      <c r="O16" s="397">
        <f t="shared" si="3"/>
        <v>3</v>
      </c>
    </row>
    <row r="17" spans="1:15" ht="14.25" thickBot="1" x14ac:dyDescent="0.3">
      <c r="A17" s="424" t="s">
        <v>30</v>
      </c>
      <c r="B17" s="184">
        <f>SUM(B11:B16)</f>
        <v>6</v>
      </c>
      <c r="C17" s="184">
        <f t="shared" ref="C17:L17" si="5">SUM(C11:C16)</f>
        <v>0</v>
      </c>
      <c r="D17" s="184">
        <f t="shared" si="5"/>
        <v>1</v>
      </c>
      <c r="E17" s="249">
        <f t="shared" si="5"/>
        <v>0</v>
      </c>
      <c r="F17" s="345">
        <f t="shared" si="0"/>
        <v>7</v>
      </c>
      <c r="G17" s="337">
        <f t="shared" si="5"/>
        <v>1</v>
      </c>
      <c r="H17" s="319">
        <f t="shared" si="1"/>
        <v>8</v>
      </c>
      <c r="I17" s="204">
        <f t="shared" si="5"/>
        <v>0</v>
      </c>
      <c r="J17" s="184">
        <f t="shared" si="5"/>
        <v>0</v>
      </c>
      <c r="K17" s="184">
        <f t="shared" si="5"/>
        <v>0</v>
      </c>
      <c r="L17" s="249">
        <f t="shared" si="5"/>
        <v>1</v>
      </c>
      <c r="M17" s="319">
        <f t="shared" si="2"/>
        <v>9</v>
      </c>
      <c r="N17" s="337">
        <f>SUM(N11:N16)</f>
        <v>1</v>
      </c>
      <c r="O17" s="319">
        <f t="shared" si="3"/>
        <v>10</v>
      </c>
    </row>
    <row r="18" spans="1:15" x14ac:dyDescent="0.25">
      <c r="A18" s="327" t="s">
        <v>317</v>
      </c>
      <c r="B18" s="150">
        <v>0</v>
      </c>
      <c r="C18" s="150">
        <v>0</v>
      </c>
      <c r="D18" s="150">
        <v>0</v>
      </c>
      <c r="E18" s="332">
        <v>0</v>
      </c>
      <c r="F18" s="317">
        <f t="shared" si="0"/>
        <v>0</v>
      </c>
      <c r="G18" s="395">
        <v>0</v>
      </c>
      <c r="H18" s="335">
        <f>SUM(F18:G18)</f>
        <v>0</v>
      </c>
      <c r="I18" s="197">
        <v>0</v>
      </c>
      <c r="J18" s="150">
        <v>0</v>
      </c>
      <c r="K18" s="150">
        <v>0</v>
      </c>
      <c r="L18" s="332">
        <v>0</v>
      </c>
      <c r="M18" s="335">
        <f>SUM(H18,I18,J18,K18,L18)</f>
        <v>0</v>
      </c>
      <c r="N18" s="395">
        <v>0</v>
      </c>
      <c r="O18" s="398">
        <f t="shared" si="3"/>
        <v>0</v>
      </c>
    </row>
    <row r="19" spans="1:15" x14ac:dyDescent="0.25">
      <c r="A19" s="329" t="s">
        <v>316</v>
      </c>
      <c r="B19" s="150">
        <v>0</v>
      </c>
      <c r="C19" s="150">
        <v>0</v>
      </c>
      <c r="D19" s="150">
        <v>0</v>
      </c>
      <c r="E19" s="332">
        <v>0</v>
      </c>
      <c r="F19" s="317">
        <f t="shared" si="0"/>
        <v>0</v>
      </c>
      <c r="G19" s="395">
        <v>0</v>
      </c>
      <c r="H19" s="335">
        <f>SUM(F19:G19)</f>
        <v>0</v>
      </c>
      <c r="I19" s="197">
        <v>0</v>
      </c>
      <c r="J19" s="150">
        <v>0</v>
      </c>
      <c r="K19" s="150">
        <v>0</v>
      </c>
      <c r="L19" s="332">
        <v>0</v>
      </c>
      <c r="M19" s="335">
        <f>SUM(H19,I19,J19,K19,L19)</f>
        <v>0</v>
      </c>
      <c r="N19" s="395">
        <v>0</v>
      </c>
      <c r="O19" s="335">
        <f t="shared" si="3"/>
        <v>0</v>
      </c>
    </row>
    <row r="20" spans="1:15" x14ac:dyDescent="0.25">
      <c r="A20" s="332" t="s">
        <v>289</v>
      </c>
      <c r="B20" s="150">
        <v>0</v>
      </c>
      <c r="C20" s="150">
        <v>0</v>
      </c>
      <c r="D20" s="150">
        <v>0</v>
      </c>
      <c r="E20" s="332">
        <v>0</v>
      </c>
      <c r="F20" s="317">
        <f t="shared" si="0"/>
        <v>0</v>
      </c>
      <c r="G20" s="395">
        <v>0</v>
      </c>
      <c r="H20" s="335">
        <f>SUM(F20:G20)</f>
        <v>0</v>
      </c>
      <c r="I20" s="197">
        <v>0</v>
      </c>
      <c r="J20" s="150">
        <v>0</v>
      </c>
      <c r="K20" s="150">
        <v>0</v>
      </c>
      <c r="L20" s="332">
        <v>0</v>
      </c>
      <c r="M20" s="335">
        <f>SUM(H20,I20,J20,K20,L20)</f>
        <v>0</v>
      </c>
      <c r="N20" s="395">
        <v>0</v>
      </c>
      <c r="O20" s="335">
        <f t="shared" si="3"/>
        <v>0</v>
      </c>
    </row>
    <row r="21" spans="1:15" x14ac:dyDescent="0.25">
      <c r="A21" s="332" t="s">
        <v>290</v>
      </c>
      <c r="B21" s="150">
        <v>0</v>
      </c>
      <c r="C21" s="150">
        <v>0</v>
      </c>
      <c r="D21" s="150">
        <v>0</v>
      </c>
      <c r="E21" s="332">
        <v>0</v>
      </c>
      <c r="F21" s="317">
        <f t="shared" si="0"/>
        <v>0</v>
      </c>
      <c r="G21" s="395">
        <v>0</v>
      </c>
      <c r="H21" s="335">
        <f>SUM(F21:G21)</f>
        <v>0</v>
      </c>
      <c r="I21" s="197">
        <v>0</v>
      </c>
      <c r="J21" s="150">
        <v>0</v>
      </c>
      <c r="K21" s="150">
        <v>0</v>
      </c>
      <c r="L21" s="332">
        <v>0</v>
      </c>
      <c r="M21" s="335">
        <f>SUM(H21,I21,J21,K21,L21)</f>
        <v>0</v>
      </c>
      <c r="N21" s="395">
        <v>0</v>
      </c>
      <c r="O21" s="335">
        <f t="shared" si="3"/>
        <v>0</v>
      </c>
    </row>
    <row r="22" spans="1:15" ht="14.25" thickBot="1" x14ac:dyDescent="0.3">
      <c r="A22" s="325" t="s">
        <v>51</v>
      </c>
      <c r="B22" s="150">
        <v>0</v>
      </c>
      <c r="C22" s="150">
        <v>0</v>
      </c>
      <c r="D22" s="150">
        <v>0</v>
      </c>
      <c r="E22" s="332">
        <v>0</v>
      </c>
      <c r="F22" s="317">
        <f t="shared" si="0"/>
        <v>0</v>
      </c>
      <c r="G22" s="395">
        <v>0</v>
      </c>
      <c r="H22" s="335">
        <f>SUM(F22:G22)</f>
        <v>0</v>
      </c>
      <c r="I22" s="197">
        <v>0</v>
      </c>
      <c r="J22" s="150">
        <v>0</v>
      </c>
      <c r="K22" s="150">
        <v>0</v>
      </c>
      <c r="L22" s="332">
        <v>0</v>
      </c>
      <c r="M22" s="335">
        <f>SUM(H22,I22,J22,K22,L22)</f>
        <v>0</v>
      </c>
      <c r="N22" s="395">
        <v>0</v>
      </c>
      <c r="O22" s="335">
        <f t="shared" si="3"/>
        <v>0</v>
      </c>
    </row>
    <row r="23" spans="1:15" ht="14.25" thickBot="1" x14ac:dyDescent="0.3">
      <c r="A23" s="425" t="s">
        <v>31</v>
      </c>
      <c r="B23" s="184">
        <f>SUM(B18:B22)</f>
        <v>0</v>
      </c>
      <c r="C23" s="184">
        <f t="shared" ref="C23:L23" si="6">SUM(C18:C22)</f>
        <v>0</v>
      </c>
      <c r="D23" s="184">
        <f t="shared" si="6"/>
        <v>0</v>
      </c>
      <c r="E23" s="249">
        <f t="shared" si="6"/>
        <v>0</v>
      </c>
      <c r="F23" s="319">
        <f t="shared" si="0"/>
        <v>0</v>
      </c>
      <c r="G23" s="337">
        <f t="shared" si="6"/>
        <v>0</v>
      </c>
      <c r="H23" s="319">
        <f t="shared" si="1"/>
        <v>0</v>
      </c>
      <c r="I23" s="204">
        <f t="shared" si="6"/>
        <v>0</v>
      </c>
      <c r="J23" s="184">
        <f t="shared" si="6"/>
        <v>0</v>
      </c>
      <c r="K23" s="184">
        <f t="shared" si="6"/>
        <v>0</v>
      </c>
      <c r="L23" s="249">
        <f t="shared" si="6"/>
        <v>0</v>
      </c>
      <c r="M23" s="319">
        <f t="shared" si="2"/>
        <v>0</v>
      </c>
      <c r="N23" s="337">
        <f>SUM(N18:N22)</f>
        <v>0</v>
      </c>
      <c r="O23" s="319">
        <f t="shared" si="3"/>
        <v>0</v>
      </c>
    </row>
    <row r="24" spans="1:15" x14ac:dyDescent="0.25">
      <c r="A24" s="327" t="s">
        <v>32</v>
      </c>
      <c r="B24" s="150">
        <v>0</v>
      </c>
      <c r="C24" s="150">
        <v>0</v>
      </c>
      <c r="D24" s="150">
        <v>1</v>
      </c>
      <c r="E24" s="332">
        <v>0</v>
      </c>
      <c r="F24" s="317">
        <f t="shared" si="0"/>
        <v>1</v>
      </c>
      <c r="G24" s="395">
        <v>0</v>
      </c>
      <c r="H24" s="335">
        <f>SUM(F24:G24)</f>
        <v>1</v>
      </c>
      <c r="I24" s="197">
        <v>1</v>
      </c>
      <c r="J24" s="150">
        <v>0</v>
      </c>
      <c r="K24" s="150">
        <v>0</v>
      </c>
      <c r="L24" s="332">
        <v>2</v>
      </c>
      <c r="M24" s="335">
        <f>SUM(H24,I24,J24,K24,L24)</f>
        <v>4</v>
      </c>
      <c r="N24" s="395">
        <v>1</v>
      </c>
      <c r="O24" s="335">
        <f t="shared" si="3"/>
        <v>5</v>
      </c>
    </row>
    <row r="25" spans="1:15" ht="14.25" thickBot="1" x14ac:dyDescent="0.3">
      <c r="A25" s="325" t="s">
        <v>33</v>
      </c>
      <c r="B25" s="227">
        <v>0</v>
      </c>
      <c r="C25" s="227">
        <v>0</v>
      </c>
      <c r="D25" s="227">
        <v>1</v>
      </c>
      <c r="E25" s="336">
        <v>0</v>
      </c>
      <c r="F25" s="400">
        <f t="shared" si="0"/>
        <v>1</v>
      </c>
      <c r="G25" s="402">
        <v>0</v>
      </c>
      <c r="H25" s="397">
        <f t="shared" si="1"/>
        <v>1</v>
      </c>
      <c r="I25" s="225">
        <v>1</v>
      </c>
      <c r="J25" s="227">
        <v>0</v>
      </c>
      <c r="K25" s="227">
        <v>0</v>
      </c>
      <c r="L25" s="336">
        <v>0</v>
      </c>
      <c r="M25" s="397">
        <f t="shared" si="2"/>
        <v>2</v>
      </c>
      <c r="N25" s="402">
        <v>1</v>
      </c>
      <c r="O25" s="397">
        <f t="shared" si="3"/>
        <v>3</v>
      </c>
    </row>
    <row r="26" spans="1:15" ht="14.25" thickBot="1" x14ac:dyDescent="0.3">
      <c r="A26" s="426" t="s">
        <v>34</v>
      </c>
      <c r="B26" s="258">
        <f>SUM(B24:B25)</f>
        <v>0</v>
      </c>
      <c r="C26" s="258">
        <f>SUM(C24:C25)</f>
        <v>0</v>
      </c>
      <c r="D26" s="258">
        <f>SUM(D24:D25)</f>
        <v>2</v>
      </c>
      <c r="E26" s="333">
        <f>SUM(E24:E25)</f>
        <v>0</v>
      </c>
      <c r="F26" s="403">
        <f t="shared" si="0"/>
        <v>2</v>
      </c>
      <c r="G26" s="404">
        <f>SUM(G24:G25)</f>
        <v>0</v>
      </c>
      <c r="H26" s="403">
        <f t="shared" si="1"/>
        <v>2</v>
      </c>
      <c r="I26" s="405">
        <f>SUM(I24:I25)</f>
        <v>2</v>
      </c>
      <c r="J26" s="258">
        <f>SUM(J24:J25)</f>
        <v>0</v>
      </c>
      <c r="K26" s="258">
        <f>SUM(K24:K25)</f>
        <v>0</v>
      </c>
      <c r="L26" s="333">
        <f>SUM(L24:L25)</f>
        <v>2</v>
      </c>
      <c r="M26" s="403">
        <f t="shared" si="2"/>
        <v>6</v>
      </c>
      <c r="N26" s="404">
        <f>SUM(N24:N25)</f>
        <v>2</v>
      </c>
      <c r="O26" s="403">
        <f t="shared" si="3"/>
        <v>8</v>
      </c>
    </row>
    <row r="27" spans="1:15" ht="14.25" thickBot="1" x14ac:dyDescent="0.3">
      <c r="A27" s="314" t="s">
        <v>189</v>
      </c>
      <c r="B27" s="184">
        <f>B10+B17+B23+B26</f>
        <v>6</v>
      </c>
      <c r="C27" s="184">
        <f>C10+C17+C23+C26</f>
        <v>0</v>
      </c>
      <c r="D27" s="184">
        <f>D10+D17+D23+D26</f>
        <v>4</v>
      </c>
      <c r="E27" s="249">
        <f>E10+E17+E23+E26</f>
        <v>0</v>
      </c>
      <c r="F27" s="319">
        <f t="shared" si="0"/>
        <v>10</v>
      </c>
      <c r="G27" s="337">
        <f>G10+G17+G23+G26</f>
        <v>1</v>
      </c>
      <c r="H27" s="319">
        <f t="shared" si="1"/>
        <v>11</v>
      </c>
      <c r="I27" s="204">
        <f>I10+I17+I23+I26</f>
        <v>3</v>
      </c>
      <c r="J27" s="184">
        <f>J10+J17+J23+J26</f>
        <v>0</v>
      </c>
      <c r="K27" s="184">
        <f>K10+K17+K23+K26</f>
        <v>0</v>
      </c>
      <c r="L27" s="249">
        <f>L10+L17+L23+L26</f>
        <v>3</v>
      </c>
      <c r="M27" s="319">
        <f t="shared" si="2"/>
        <v>17</v>
      </c>
      <c r="N27" s="337">
        <f>N10+N17+N23+N26</f>
        <v>3</v>
      </c>
      <c r="O27" s="319">
        <f t="shared" si="3"/>
        <v>20</v>
      </c>
    </row>
    <row r="28" spans="1:15" ht="14.25" hidden="1" thickBot="1" x14ac:dyDescent="0.3">
      <c r="A28" s="798" t="s">
        <v>206</v>
      </c>
      <c r="B28" s="660"/>
      <c r="C28" s="660"/>
      <c r="D28" s="660"/>
      <c r="E28" s="790"/>
      <c r="F28" s="789"/>
      <c r="G28" s="795"/>
      <c r="H28" s="794"/>
      <c r="I28" s="791"/>
      <c r="J28" s="660"/>
      <c r="K28" s="660"/>
      <c r="L28" s="790"/>
      <c r="M28" s="794"/>
      <c r="N28" s="795"/>
      <c r="O28" s="799"/>
    </row>
    <row r="29" spans="1:15" ht="14.25" thickBot="1" x14ac:dyDescent="0.3">
      <c r="A29" s="187" t="s">
        <v>207</v>
      </c>
      <c r="B29" s="184">
        <f>B27+B28</f>
        <v>6</v>
      </c>
      <c r="C29" s="184">
        <f t="shared" ref="C29:O29" si="7">C27+C28</f>
        <v>0</v>
      </c>
      <c r="D29" s="184">
        <f t="shared" si="7"/>
        <v>4</v>
      </c>
      <c r="E29" s="249">
        <f t="shared" si="7"/>
        <v>0</v>
      </c>
      <c r="F29" s="319">
        <f t="shared" si="7"/>
        <v>10</v>
      </c>
      <c r="G29" s="337">
        <f t="shared" si="7"/>
        <v>1</v>
      </c>
      <c r="H29" s="319">
        <f t="shared" si="7"/>
        <v>11</v>
      </c>
      <c r="I29" s="204">
        <f t="shared" si="7"/>
        <v>3</v>
      </c>
      <c r="J29" s="184">
        <f t="shared" si="7"/>
        <v>0</v>
      </c>
      <c r="K29" s="184">
        <f t="shared" si="7"/>
        <v>0</v>
      </c>
      <c r="L29" s="249">
        <f t="shared" si="7"/>
        <v>3</v>
      </c>
      <c r="M29" s="319">
        <f t="shared" si="7"/>
        <v>17</v>
      </c>
      <c r="N29" s="337">
        <f t="shared" si="7"/>
        <v>3</v>
      </c>
      <c r="O29" s="319">
        <f t="shared" si="7"/>
        <v>20</v>
      </c>
    </row>
    <row r="30" spans="1:15" ht="14.25" thickBot="1" x14ac:dyDescent="0.3">
      <c r="N30" s="291"/>
    </row>
    <row r="31" spans="1:15" ht="14.25" thickBot="1" x14ac:dyDescent="0.3">
      <c r="A31" s="314">
        <f>O29</f>
        <v>20</v>
      </c>
      <c r="B31" s="406" t="s">
        <v>116</v>
      </c>
      <c r="C31" s="406"/>
      <c r="D31" s="407"/>
      <c r="E31" s="408">
        <f>'Anlage 1a'!J45</f>
        <v>882</v>
      </c>
      <c r="F31" s="406" t="s">
        <v>117</v>
      </c>
      <c r="G31" s="407"/>
      <c r="H31" s="409" t="s">
        <v>118</v>
      </c>
      <c r="I31" s="406"/>
      <c r="J31" s="406"/>
      <c r="K31" s="406"/>
      <c r="L31" s="406"/>
      <c r="M31" s="406"/>
      <c r="N31" s="410">
        <f>A31/E31*100</f>
        <v>2.2675736961451247</v>
      </c>
      <c r="O31" s="320" t="s">
        <v>50</v>
      </c>
    </row>
  </sheetData>
  <customSheetViews>
    <customSheetView guid="{0224233B-564D-4BBC-A6B2-E639E6D2CFB3}" showPageBreaks="1" fitToPage="1" showRuler="0">
      <selection activeCell="C48" sqref="C48"/>
      <pageMargins left="0.78740157499999996" right="0.78740157499999996" top="0.984251969" bottom="0.984251969" header="0.4921259845" footer="0.4921259845"/>
      <pageSetup paperSize="9" scale="91" orientation="landscape" r:id="rId1"/>
      <headerFooter alignWithMargins="0">
        <oddFooter>&amp;Z&amp;F&amp;RSeite &amp;P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89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3"/>
  <sheetViews>
    <sheetView zoomScale="70" zoomScaleNormal="70" zoomScaleSheetLayoutView="75" zoomScalePageLayoutView="70" workbookViewId="0">
      <selection activeCell="AI38" sqref="AI38"/>
    </sheetView>
  </sheetViews>
  <sheetFormatPr baseColWidth="10" defaultRowHeight="13.5" x14ac:dyDescent="0.25"/>
  <cols>
    <col min="1" max="1" width="29.42578125" style="858" customWidth="1"/>
    <col min="2" max="2" width="4.85546875" style="858" hidden="1" customWidth="1"/>
    <col min="3" max="3" width="3.28515625" style="858" hidden="1" customWidth="1"/>
    <col min="4" max="4" width="6.42578125" style="858" customWidth="1"/>
    <col min="5" max="5" width="5.85546875" style="858" bestFit="1" customWidth="1"/>
    <col min="6" max="6" width="6.42578125" style="858" customWidth="1"/>
    <col min="7" max="7" width="4.28515625" style="858" customWidth="1"/>
    <col min="8" max="8" width="6.42578125" style="858" customWidth="1"/>
    <col min="9" max="9" width="4.28515625" style="858" customWidth="1"/>
    <col min="10" max="10" width="6.42578125" style="858" customWidth="1"/>
    <col min="11" max="11" width="4.28515625" style="858" customWidth="1"/>
    <col min="12" max="12" width="7.42578125" style="858" bestFit="1" customWidth="1"/>
    <col min="13" max="13" width="5.7109375" style="858" customWidth="1"/>
    <col min="14" max="14" width="6.42578125" style="858" customWidth="1"/>
    <col min="15" max="15" width="4.28515625" style="858" customWidth="1"/>
    <col min="16" max="16" width="6.42578125" style="858" customWidth="1"/>
    <col min="17" max="17" width="4.28515625" style="858" customWidth="1"/>
    <col min="18" max="18" width="6.42578125" style="858" customWidth="1"/>
    <col min="19" max="19" width="5.85546875" style="858" bestFit="1" customWidth="1"/>
    <col min="20" max="20" width="6.42578125" style="858" customWidth="1"/>
    <col min="21" max="21" width="4.28515625" style="858" customWidth="1"/>
    <col min="22" max="22" width="6.42578125" style="858" customWidth="1"/>
    <col min="23" max="23" width="4.28515625" style="858" customWidth="1"/>
    <col min="24" max="24" width="6.42578125" style="858" customWidth="1"/>
    <col min="25" max="25" width="4.28515625" style="858" customWidth="1"/>
    <col min="26" max="26" width="7.42578125" style="858" bestFit="1" customWidth="1"/>
    <col min="27" max="27" width="5.7109375" style="858" customWidth="1"/>
    <col min="28" max="28" width="7.28515625" style="858" bestFit="1" customWidth="1"/>
    <col min="29" max="29" width="4.28515625" style="858" customWidth="1"/>
    <col min="30" max="30" width="5.7109375" style="858" customWidth="1"/>
    <col min="31" max="31" width="4.28515625" style="858" customWidth="1"/>
    <col min="32" max="32" width="5.7109375" style="858" customWidth="1"/>
    <col min="33" max="33" width="4.28515625" style="858" customWidth="1"/>
    <col min="34" max="34" width="7" style="858" bestFit="1" customWidth="1"/>
    <col min="35" max="35" width="5.42578125" style="858" customWidth="1"/>
    <col min="36" max="36" width="8.42578125" style="858" bestFit="1" customWidth="1"/>
    <col min="37" max="37" width="5.7109375" style="858" customWidth="1"/>
    <col min="38" max="38" width="4.7109375" style="859" customWidth="1"/>
    <col min="39" max="16384" width="11.42578125" style="859"/>
  </cols>
  <sheetData>
    <row r="1" spans="1:46" s="856" customFormat="1" ht="21" x14ac:dyDescent="0.35">
      <c r="A1" s="945" t="s">
        <v>322</v>
      </c>
      <c r="B1" s="945"/>
      <c r="C1" s="945"/>
      <c r="D1" s="945"/>
      <c r="E1" s="945"/>
      <c r="F1" s="945"/>
      <c r="G1" s="945"/>
      <c r="H1" s="945"/>
      <c r="I1" s="945"/>
      <c r="J1" s="945"/>
      <c r="K1" s="945"/>
      <c r="L1" s="945"/>
      <c r="M1" s="945"/>
      <c r="N1" s="945"/>
      <c r="O1" s="945"/>
      <c r="P1" s="945"/>
      <c r="Q1" s="945"/>
      <c r="R1" s="945"/>
      <c r="S1" s="945"/>
      <c r="T1" s="945"/>
      <c r="U1" s="945"/>
      <c r="V1" s="945"/>
      <c r="W1" s="945"/>
      <c r="X1" s="945"/>
      <c r="Y1" s="945"/>
      <c r="Z1" s="945"/>
      <c r="AA1" s="945"/>
      <c r="AB1" s="945"/>
      <c r="AC1" s="945"/>
      <c r="AD1" s="945"/>
      <c r="AE1" s="945"/>
      <c r="AF1" s="945"/>
      <c r="AG1" s="945"/>
      <c r="AH1" s="945"/>
      <c r="AI1" s="945"/>
      <c r="AJ1" s="945"/>
      <c r="AK1" s="945"/>
      <c r="AM1" s="857" t="s">
        <v>204</v>
      </c>
    </row>
    <row r="2" spans="1:46" ht="14.25" thickBot="1" x14ac:dyDescent="0.3"/>
    <row r="3" spans="1:46" ht="24.75" customHeight="1" thickBot="1" x14ac:dyDescent="0.3">
      <c r="A3" s="855" t="s">
        <v>4</v>
      </c>
      <c r="B3" s="946" t="s">
        <v>205</v>
      </c>
      <c r="C3" s="947"/>
      <c r="D3" s="11" t="s">
        <v>5</v>
      </c>
      <c r="E3" s="12"/>
      <c r="F3" s="12" t="s">
        <v>6</v>
      </c>
      <c r="G3" s="12"/>
      <c r="H3" s="12" t="s">
        <v>7</v>
      </c>
      <c r="I3" s="12"/>
      <c r="J3" s="12" t="s">
        <v>8</v>
      </c>
      <c r="K3" s="12"/>
      <c r="L3" s="13" t="s">
        <v>9</v>
      </c>
      <c r="M3" s="14"/>
      <c r="N3" s="12" t="s">
        <v>10</v>
      </c>
      <c r="O3" s="12"/>
      <c r="P3" s="12" t="s">
        <v>11</v>
      </c>
      <c r="Q3" s="12"/>
      <c r="R3" s="12" t="s">
        <v>12</v>
      </c>
      <c r="S3" s="12"/>
      <c r="T3" s="12" t="s">
        <v>13</v>
      </c>
      <c r="U3" s="12"/>
      <c r="V3" s="12" t="s">
        <v>14</v>
      </c>
      <c r="W3" s="12"/>
      <c r="X3" s="12" t="s">
        <v>15</v>
      </c>
      <c r="Y3" s="12"/>
      <c r="Z3" s="13" t="s">
        <v>60</v>
      </c>
      <c r="AA3" s="14"/>
      <c r="AB3" s="12" t="s">
        <v>16</v>
      </c>
      <c r="AC3" s="12"/>
      <c r="AD3" s="12" t="s">
        <v>17</v>
      </c>
      <c r="AE3" s="15"/>
      <c r="AF3" s="12" t="s">
        <v>18</v>
      </c>
      <c r="AG3" s="12"/>
      <c r="AH3" s="13" t="s">
        <v>61</v>
      </c>
      <c r="AI3" s="16"/>
      <c r="AJ3" s="13" t="s">
        <v>19</v>
      </c>
      <c r="AK3" s="14"/>
      <c r="AL3" s="860"/>
      <c r="AM3" s="860"/>
      <c r="AN3" s="860"/>
      <c r="AO3" s="860"/>
      <c r="AP3" s="860"/>
      <c r="AQ3" s="860"/>
      <c r="AR3" s="860"/>
      <c r="AS3" s="860"/>
      <c r="AT3" s="860"/>
    </row>
    <row r="4" spans="1:46" ht="20.100000000000001" customHeight="1" thickBot="1" x14ac:dyDescent="0.3">
      <c r="A4" s="17"/>
      <c r="B4" s="18" t="s">
        <v>20</v>
      </c>
      <c r="C4" s="19" t="s">
        <v>21</v>
      </c>
      <c r="D4" s="20" t="s">
        <v>20</v>
      </c>
      <c r="E4" s="21" t="s">
        <v>21</v>
      </c>
      <c r="F4" s="21" t="s">
        <v>20</v>
      </c>
      <c r="G4" s="21" t="s">
        <v>21</v>
      </c>
      <c r="H4" s="21" t="s">
        <v>20</v>
      </c>
      <c r="I4" s="21" t="s">
        <v>21</v>
      </c>
      <c r="J4" s="21" t="s">
        <v>20</v>
      </c>
      <c r="K4" s="21" t="s">
        <v>21</v>
      </c>
      <c r="L4" s="22" t="s">
        <v>20</v>
      </c>
      <c r="M4" s="23" t="s">
        <v>21</v>
      </c>
      <c r="N4" s="21" t="s">
        <v>20</v>
      </c>
      <c r="O4" s="21" t="s">
        <v>21</v>
      </c>
      <c r="P4" s="21" t="s">
        <v>20</v>
      </c>
      <c r="Q4" s="21" t="s">
        <v>21</v>
      </c>
      <c r="R4" s="21" t="s">
        <v>20</v>
      </c>
      <c r="S4" s="21" t="s">
        <v>21</v>
      </c>
      <c r="T4" s="21" t="s">
        <v>20</v>
      </c>
      <c r="U4" s="21" t="s">
        <v>21</v>
      </c>
      <c r="V4" s="21" t="s">
        <v>20</v>
      </c>
      <c r="W4" s="21" t="s">
        <v>21</v>
      </c>
      <c r="X4" s="21" t="s">
        <v>20</v>
      </c>
      <c r="Y4" s="21" t="s">
        <v>21</v>
      </c>
      <c r="Z4" s="22" t="s">
        <v>20</v>
      </c>
      <c r="AA4" s="23" t="s">
        <v>21</v>
      </c>
      <c r="AB4" s="21" t="s">
        <v>20</v>
      </c>
      <c r="AC4" s="24" t="s">
        <v>208</v>
      </c>
      <c r="AD4" s="21" t="s">
        <v>20</v>
      </c>
      <c r="AE4" s="24" t="s">
        <v>208</v>
      </c>
      <c r="AF4" s="21" t="s">
        <v>20</v>
      </c>
      <c r="AG4" s="24" t="s">
        <v>208</v>
      </c>
      <c r="AH4" s="22" t="s">
        <v>20</v>
      </c>
      <c r="AI4" s="21" t="s">
        <v>208</v>
      </c>
      <c r="AJ4" s="25" t="s">
        <v>20</v>
      </c>
      <c r="AK4" s="26" t="s">
        <v>62</v>
      </c>
    </row>
    <row r="5" spans="1:46" ht="15.75" x14ac:dyDescent="0.25">
      <c r="A5" s="27" t="s">
        <v>22</v>
      </c>
      <c r="B5" s="28"/>
      <c r="C5" s="29"/>
      <c r="D5" s="30">
        <f>8+18+19+9</f>
        <v>54</v>
      </c>
      <c r="E5" s="31">
        <v>2</v>
      </c>
      <c r="F5" s="31">
        <f>7+19+3+13+2+1+11+2</f>
        <v>58</v>
      </c>
      <c r="G5" s="31">
        <v>2</v>
      </c>
      <c r="H5" s="31">
        <f>9+17+1+9+1+15</f>
        <v>52</v>
      </c>
      <c r="I5" s="31">
        <v>2</v>
      </c>
      <c r="J5" s="31">
        <f>16+7+15+6+1+11+9+1</f>
        <v>66</v>
      </c>
      <c r="K5" s="31">
        <v>3</v>
      </c>
      <c r="L5" s="32">
        <f>SUM(D5,F5,H5,J5)</f>
        <v>230</v>
      </c>
      <c r="M5" s="33">
        <f>SUM(E5,G5,I5,K5)</f>
        <v>9</v>
      </c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5">
        <f>SUM(N5,P5,R5,T5,V5,X5)</f>
        <v>0</v>
      </c>
      <c r="AA5" s="36">
        <f>SUM(O5,Q5,S5,U5,W5,Y5)</f>
        <v>0</v>
      </c>
      <c r="AB5" s="34"/>
      <c r="AC5" s="34"/>
      <c r="AD5" s="34"/>
      <c r="AE5" s="34"/>
      <c r="AF5" s="34"/>
      <c r="AG5" s="34"/>
      <c r="AH5" s="35">
        <f>SUM(AB5,AD5,AF5)</f>
        <v>0</v>
      </c>
      <c r="AI5" s="37">
        <f>SUM(AC5,AE5,AG5)</f>
        <v>0</v>
      </c>
      <c r="AJ5" s="32">
        <f t="shared" ref="AJ5:AK8" si="0">SUM(L5,Z5,AH5)</f>
        <v>230</v>
      </c>
      <c r="AK5" s="33">
        <f t="shared" si="0"/>
        <v>9</v>
      </c>
    </row>
    <row r="6" spans="1:46" ht="15.75" x14ac:dyDescent="0.25">
      <c r="A6" s="27" t="s">
        <v>23</v>
      </c>
      <c r="B6" s="28"/>
      <c r="C6" s="29"/>
      <c r="D6" s="30">
        <f>12+11+14+9</f>
        <v>46</v>
      </c>
      <c r="E6" s="31">
        <v>2</v>
      </c>
      <c r="F6" s="31">
        <f>1+21+8+15+1+13</f>
        <v>59</v>
      </c>
      <c r="G6" s="31">
        <v>2</v>
      </c>
      <c r="H6" s="31">
        <f>17+11+11+1+13+1</f>
        <v>54</v>
      </c>
      <c r="I6" s="31">
        <v>2</v>
      </c>
      <c r="J6" s="31">
        <f>20+1+7+20+8</f>
        <v>56</v>
      </c>
      <c r="K6" s="31">
        <v>2</v>
      </c>
      <c r="L6" s="32">
        <f>SUM(D6,F6,H6,J6)</f>
        <v>215</v>
      </c>
      <c r="M6" s="33">
        <f t="shared" ref="L6:M21" si="1">SUM(E6,G6,I6,K6)</f>
        <v>8</v>
      </c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5">
        <f t="shared" ref="Z6:AA20" si="2">SUM(N6,P6,R6,T6,V6,X6)</f>
        <v>0</v>
      </c>
      <c r="AA6" s="36">
        <f t="shared" si="2"/>
        <v>0</v>
      </c>
      <c r="AB6" s="34"/>
      <c r="AC6" s="34"/>
      <c r="AD6" s="34"/>
      <c r="AE6" s="34"/>
      <c r="AF6" s="34"/>
      <c r="AG6" s="34"/>
      <c r="AH6" s="35">
        <f t="shared" ref="AH6:AI21" si="3">SUM(AB6,AD6,AF6)</f>
        <v>0</v>
      </c>
      <c r="AI6" s="37">
        <f t="shared" si="3"/>
        <v>0</v>
      </c>
      <c r="AJ6" s="32">
        <f t="shared" si="0"/>
        <v>215</v>
      </c>
      <c r="AK6" s="33">
        <f t="shared" si="0"/>
        <v>8</v>
      </c>
    </row>
    <row r="7" spans="1:46" ht="15.75" x14ac:dyDescent="0.25">
      <c r="A7" s="27" t="s">
        <v>24</v>
      </c>
      <c r="B7" s="28"/>
      <c r="C7" s="29"/>
      <c r="D7" s="30">
        <f>12+16+14+13</f>
        <v>55</v>
      </c>
      <c r="E7" s="31">
        <v>2</v>
      </c>
      <c r="F7" s="31">
        <f>15+11+3+13+15+1</f>
        <v>58</v>
      </c>
      <c r="G7" s="31">
        <v>2</v>
      </c>
      <c r="H7" s="31">
        <f>12+1+9+10+11</f>
        <v>43</v>
      </c>
      <c r="I7" s="31">
        <v>2</v>
      </c>
      <c r="J7" s="31">
        <f>14+1+7+19+2+12+7</f>
        <v>62</v>
      </c>
      <c r="K7" s="31">
        <v>3</v>
      </c>
      <c r="L7" s="32">
        <f t="shared" si="1"/>
        <v>218</v>
      </c>
      <c r="M7" s="33">
        <f t="shared" si="1"/>
        <v>9</v>
      </c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5">
        <f t="shared" si="2"/>
        <v>0</v>
      </c>
      <c r="AA7" s="36">
        <f t="shared" si="2"/>
        <v>0</v>
      </c>
      <c r="AB7" s="34"/>
      <c r="AC7" s="34"/>
      <c r="AD7" s="34"/>
      <c r="AE7" s="34"/>
      <c r="AF7" s="34"/>
      <c r="AG7" s="34"/>
      <c r="AH7" s="35">
        <f t="shared" si="3"/>
        <v>0</v>
      </c>
      <c r="AI7" s="37">
        <f t="shared" si="3"/>
        <v>0</v>
      </c>
      <c r="AJ7" s="32">
        <f t="shared" si="0"/>
        <v>218</v>
      </c>
      <c r="AK7" s="33">
        <f t="shared" si="0"/>
        <v>9</v>
      </c>
    </row>
    <row r="8" spans="1:46" s="861" customFormat="1" ht="16.5" thickBot="1" x14ac:dyDescent="0.3">
      <c r="A8" s="38" t="s">
        <v>291</v>
      </c>
      <c r="B8" s="39"/>
      <c r="C8" s="40"/>
      <c r="D8" s="41">
        <f>2+16+6+10</f>
        <v>34</v>
      </c>
      <c r="E8" s="42">
        <v>2</v>
      </c>
      <c r="F8" s="41">
        <f>2+25+2</f>
        <v>29</v>
      </c>
      <c r="G8" s="42">
        <v>1</v>
      </c>
      <c r="H8" s="41">
        <f>6+16+1+13+11</f>
        <v>47</v>
      </c>
      <c r="I8" s="42">
        <v>2</v>
      </c>
      <c r="J8" s="41">
        <f>9+14+6+18+1</f>
        <v>48</v>
      </c>
      <c r="K8" s="42">
        <v>2</v>
      </c>
      <c r="L8" s="43">
        <f>SUM(D8+F8+H8+J8)</f>
        <v>158</v>
      </c>
      <c r="M8" s="44">
        <f t="shared" si="1"/>
        <v>7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6">
        <f t="shared" si="2"/>
        <v>0</v>
      </c>
      <c r="AA8" s="47">
        <f t="shared" si="2"/>
        <v>0</v>
      </c>
      <c r="AB8" s="45"/>
      <c r="AC8" s="45">
        <v>0</v>
      </c>
      <c r="AD8" s="45"/>
      <c r="AE8" s="45"/>
      <c r="AF8" s="45"/>
      <c r="AG8" s="48"/>
      <c r="AH8" s="46">
        <f t="shared" si="3"/>
        <v>0</v>
      </c>
      <c r="AI8" s="49">
        <f t="shared" si="3"/>
        <v>0</v>
      </c>
      <c r="AJ8" s="43">
        <f t="shared" si="0"/>
        <v>158</v>
      </c>
      <c r="AK8" s="44">
        <f t="shared" si="0"/>
        <v>7</v>
      </c>
    </row>
    <row r="9" spans="1:46" ht="20.100000000000001" customHeight="1" thickBot="1" x14ac:dyDescent="0.3">
      <c r="A9" s="50" t="s">
        <v>25</v>
      </c>
      <c r="B9" s="51"/>
      <c r="C9" s="52"/>
      <c r="D9" s="53">
        <f>SUM(D5,D6,D7,D8)</f>
        <v>189</v>
      </c>
      <c r="E9" s="53">
        <f t="shared" ref="E9:K9" si="4">SUM(E5,E6,E7,E8)</f>
        <v>8</v>
      </c>
      <c r="F9" s="53">
        <f t="shared" si="4"/>
        <v>204</v>
      </c>
      <c r="G9" s="53">
        <f t="shared" si="4"/>
        <v>7</v>
      </c>
      <c r="H9" s="53">
        <f t="shared" si="4"/>
        <v>196</v>
      </c>
      <c r="I9" s="53">
        <f t="shared" si="4"/>
        <v>8</v>
      </c>
      <c r="J9" s="53">
        <f t="shared" si="4"/>
        <v>232</v>
      </c>
      <c r="K9" s="53">
        <f t="shared" si="4"/>
        <v>10</v>
      </c>
      <c r="L9" s="55">
        <f t="shared" ref="L9:Y9" si="5">SUM(L5,L6,L7,L8)</f>
        <v>821</v>
      </c>
      <c r="M9" s="56">
        <f t="shared" si="5"/>
        <v>33</v>
      </c>
      <c r="N9" s="57">
        <f t="shared" si="5"/>
        <v>0</v>
      </c>
      <c r="O9" s="57">
        <f t="shared" si="5"/>
        <v>0</v>
      </c>
      <c r="P9" s="57">
        <f t="shared" si="5"/>
        <v>0</v>
      </c>
      <c r="Q9" s="57">
        <f t="shared" si="5"/>
        <v>0</v>
      </c>
      <c r="R9" s="57">
        <f t="shared" si="5"/>
        <v>0</v>
      </c>
      <c r="S9" s="57">
        <f t="shared" si="5"/>
        <v>0</v>
      </c>
      <c r="T9" s="57">
        <f t="shared" si="5"/>
        <v>0</v>
      </c>
      <c r="U9" s="57">
        <f t="shared" si="5"/>
        <v>0</v>
      </c>
      <c r="V9" s="57">
        <f t="shared" si="5"/>
        <v>0</v>
      </c>
      <c r="W9" s="57">
        <f t="shared" si="5"/>
        <v>0</v>
      </c>
      <c r="X9" s="57">
        <f t="shared" si="5"/>
        <v>0</v>
      </c>
      <c r="Y9" s="57">
        <f t="shared" si="5"/>
        <v>0</v>
      </c>
      <c r="Z9" s="58"/>
      <c r="AA9" s="59"/>
      <c r="AB9" s="57"/>
      <c r="AC9" s="57"/>
      <c r="AD9" s="57"/>
      <c r="AE9" s="57"/>
      <c r="AF9" s="57"/>
      <c r="AG9" s="57"/>
      <c r="AH9" s="58"/>
      <c r="AI9" s="60"/>
      <c r="AJ9" s="55">
        <f>SUM(AJ5,AJ6,AJ7,AJ8)</f>
        <v>821</v>
      </c>
      <c r="AK9" s="56">
        <f>SUM(AK5,AK6,AK7,AK8)</f>
        <v>33</v>
      </c>
    </row>
    <row r="10" spans="1:46" ht="15.75" hidden="1" x14ac:dyDescent="0.25">
      <c r="A10" s="635" t="s">
        <v>309</v>
      </c>
      <c r="B10" s="636"/>
      <c r="C10" s="637"/>
      <c r="D10" s="638"/>
      <c r="E10" s="639"/>
      <c r="F10" s="639"/>
      <c r="G10" s="639"/>
      <c r="H10" s="639"/>
      <c r="I10" s="639"/>
      <c r="J10" s="639"/>
      <c r="K10" s="639"/>
      <c r="L10" s="640"/>
      <c r="M10" s="641"/>
      <c r="N10" s="642"/>
      <c r="O10" s="642"/>
      <c r="P10" s="642"/>
      <c r="Q10" s="642"/>
      <c r="R10" s="642"/>
      <c r="S10" s="642"/>
      <c r="T10" s="642"/>
      <c r="U10" s="642"/>
      <c r="V10" s="642"/>
      <c r="W10" s="642"/>
      <c r="X10" s="642"/>
      <c r="Y10" s="642"/>
      <c r="Z10" s="643">
        <f t="shared" si="2"/>
        <v>0</v>
      </c>
      <c r="AA10" s="644">
        <f t="shared" si="2"/>
        <v>0</v>
      </c>
      <c r="AB10" s="642"/>
      <c r="AC10" s="642"/>
      <c r="AD10" s="642"/>
      <c r="AE10" s="642"/>
      <c r="AF10" s="642"/>
      <c r="AG10" s="642"/>
      <c r="AH10" s="643">
        <f t="shared" si="3"/>
        <v>0</v>
      </c>
      <c r="AI10" s="645">
        <f t="shared" si="3"/>
        <v>0</v>
      </c>
      <c r="AJ10" s="640"/>
      <c r="AK10" s="641"/>
    </row>
    <row r="11" spans="1:46" ht="15.75" x14ac:dyDescent="0.25">
      <c r="A11" s="27" t="s">
        <v>27</v>
      </c>
      <c r="B11" s="28"/>
      <c r="C11" s="72"/>
      <c r="D11" s="30">
        <f>16+9+9+12+9+13</f>
        <v>68</v>
      </c>
      <c r="E11" s="31">
        <v>3</v>
      </c>
      <c r="F11" s="31">
        <f>16+2+1+10+7+1+3+18+9+2+18+1</f>
        <v>88</v>
      </c>
      <c r="G11" s="31">
        <v>3</v>
      </c>
      <c r="H11" s="31">
        <f>10+14+9+11+10+1+1+11</f>
        <v>67</v>
      </c>
      <c r="I11" s="31">
        <v>3</v>
      </c>
      <c r="J11" s="31">
        <f>15+1+10+11+1+13+11+1+2+10+1</f>
        <v>76</v>
      </c>
      <c r="K11" s="31">
        <v>3</v>
      </c>
      <c r="L11" s="32">
        <f t="shared" si="1"/>
        <v>299</v>
      </c>
      <c r="M11" s="33">
        <f t="shared" si="1"/>
        <v>12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5">
        <f t="shared" si="2"/>
        <v>0</v>
      </c>
      <c r="AA11" s="36">
        <f t="shared" si="2"/>
        <v>0</v>
      </c>
      <c r="AB11" s="34"/>
      <c r="AC11" s="34"/>
      <c r="AD11" s="34"/>
      <c r="AE11" s="34"/>
      <c r="AF11" s="34"/>
      <c r="AG11" s="34"/>
      <c r="AH11" s="35">
        <f t="shared" si="3"/>
        <v>0</v>
      </c>
      <c r="AI11" s="37">
        <f t="shared" si="3"/>
        <v>0</v>
      </c>
      <c r="AJ11" s="32">
        <f t="shared" ref="AJ11:AK15" si="6">SUM(L11,Z11,AH11)</f>
        <v>299</v>
      </c>
      <c r="AK11" s="33">
        <f t="shared" si="6"/>
        <v>12</v>
      </c>
    </row>
    <row r="12" spans="1:46" ht="15.75" x14ac:dyDescent="0.25">
      <c r="A12" s="27" t="s">
        <v>28</v>
      </c>
      <c r="B12" s="28"/>
      <c r="C12" s="72"/>
      <c r="D12" s="30">
        <f>6+2+1+8+1+11+8+1+1</f>
        <v>39</v>
      </c>
      <c r="E12" s="31">
        <v>2</v>
      </c>
      <c r="F12" s="31">
        <f>6+1+2+13+1+1+1+7+1+3+1+9+1+2+1</f>
        <v>50</v>
      </c>
      <c r="G12" s="31">
        <v>2</v>
      </c>
      <c r="H12" s="31">
        <f>15+1+1+6+10+1+1+11</f>
        <v>46</v>
      </c>
      <c r="I12" s="31">
        <v>2</v>
      </c>
      <c r="J12" s="31">
        <f>11+1+4+5+2+10+1+6+2</f>
        <v>42</v>
      </c>
      <c r="K12" s="31">
        <v>2</v>
      </c>
      <c r="L12" s="32">
        <f t="shared" si="1"/>
        <v>177</v>
      </c>
      <c r="M12" s="33">
        <f t="shared" si="1"/>
        <v>8</v>
      </c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5">
        <f t="shared" si="2"/>
        <v>0</v>
      </c>
      <c r="AA12" s="36">
        <f t="shared" si="2"/>
        <v>0</v>
      </c>
      <c r="AB12" s="34"/>
      <c r="AC12" s="34"/>
      <c r="AD12" s="34"/>
      <c r="AE12" s="34"/>
      <c r="AF12" s="34"/>
      <c r="AG12" s="34"/>
      <c r="AH12" s="35">
        <f t="shared" si="3"/>
        <v>0</v>
      </c>
      <c r="AI12" s="37">
        <f t="shared" si="3"/>
        <v>0</v>
      </c>
      <c r="AJ12" s="32">
        <f t="shared" si="6"/>
        <v>177</v>
      </c>
      <c r="AK12" s="33">
        <f t="shared" si="6"/>
        <v>8</v>
      </c>
    </row>
    <row r="13" spans="1:46" ht="15.75" x14ac:dyDescent="0.25">
      <c r="A13" s="27" t="s">
        <v>29</v>
      </c>
      <c r="B13" s="28"/>
      <c r="C13" s="72"/>
      <c r="D13" s="30">
        <f>7+16+15+9+10+13</f>
        <v>70</v>
      </c>
      <c r="E13" s="31">
        <v>3</v>
      </c>
      <c r="F13" s="31">
        <f>14+12+1+13+12+2+9+16+1</f>
        <v>80</v>
      </c>
      <c r="G13" s="31">
        <v>3</v>
      </c>
      <c r="H13" s="31">
        <f>17+10+15+13+23+4</f>
        <v>82</v>
      </c>
      <c r="I13" s="31">
        <v>3</v>
      </c>
      <c r="J13" s="31">
        <f>15+11+10+15+18+8+1</f>
        <v>78</v>
      </c>
      <c r="K13" s="31">
        <v>3</v>
      </c>
      <c r="L13" s="32">
        <f t="shared" si="1"/>
        <v>310</v>
      </c>
      <c r="M13" s="33">
        <f t="shared" si="1"/>
        <v>12</v>
      </c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5">
        <f t="shared" si="2"/>
        <v>0</v>
      </c>
      <c r="AA13" s="36">
        <f t="shared" si="2"/>
        <v>0</v>
      </c>
      <c r="AB13" s="34"/>
      <c r="AC13" s="34"/>
      <c r="AD13" s="34"/>
      <c r="AE13" s="34"/>
      <c r="AF13" s="34"/>
      <c r="AG13" s="34"/>
      <c r="AH13" s="35">
        <f t="shared" si="3"/>
        <v>0</v>
      </c>
      <c r="AI13" s="37">
        <f t="shared" si="3"/>
        <v>0</v>
      </c>
      <c r="AJ13" s="32">
        <f t="shared" si="6"/>
        <v>310</v>
      </c>
      <c r="AK13" s="33">
        <f t="shared" si="6"/>
        <v>12</v>
      </c>
    </row>
    <row r="14" spans="1:46" ht="15.75" x14ac:dyDescent="0.25">
      <c r="A14" s="27" t="s">
        <v>58</v>
      </c>
      <c r="B14" s="28"/>
      <c r="C14" s="72"/>
      <c r="D14" s="30">
        <f>17+9+8+19+10+17</f>
        <v>80</v>
      </c>
      <c r="E14" s="31">
        <v>3</v>
      </c>
      <c r="F14" s="31">
        <f>3+11+16+1+1+10+14+4</f>
        <v>60</v>
      </c>
      <c r="G14" s="31">
        <v>2</v>
      </c>
      <c r="H14" s="31">
        <f>11+12+17+8+20+3</f>
        <v>71</v>
      </c>
      <c r="I14" s="31">
        <v>3</v>
      </c>
      <c r="J14" s="31">
        <f>16+1+11+21+7</f>
        <v>56</v>
      </c>
      <c r="K14" s="31">
        <v>2</v>
      </c>
      <c r="L14" s="32">
        <f t="shared" si="1"/>
        <v>267</v>
      </c>
      <c r="M14" s="33">
        <f t="shared" si="1"/>
        <v>10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5">
        <f t="shared" si="2"/>
        <v>0</v>
      </c>
      <c r="AA14" s="36">
        <f t="shared" si="2"/>
        <v>0</v>
      </c>
      <c r="AB14" s="34"/>
      <c r="AC14" s="34"/>
      <c r="AD14" s="34"/>
      <c r="AE14" s="34"/>
      <c r="AF14" s="34"/>
      <c r="AG14" s="34"/>
      <c r="AH14" s="35">
        <f t="shared" si="3"/>
        <v>0</v>
      </c>
      <c r="AI14" s="37">
        <f t="shared" si="3"/>
        <v>0</v>
      </c>
      <c r="AJ14" s="32">
        <f t="shared" si="6"/>
        <v>267</v>
      </c>
      <c r="AK14" s="33">
        <f t="shared" si="6"/>
        <v>10</v>
      </c>
    </row>
    <row r="15" spans="1:46" s="861" customFormat="1" ht="16.5" thickBot="1" x14ac:dyDescent="0.3">
      <c r="A15" s="38" t="s">
        <v>292</v>
      </c>
      <c r="B15" s="73"/>
      <c r="C15" s="40"/>
      <c r="D15" s="74">
        <f>11+16+13+14+14+12</f>
        <v>80</v>
      </c>
      <c r="E15" s="42">
        <v>3</v>
      </c>
      <c r="F15" s="42">
        <f>1+2+25+28+1+24+1+2+1</f>
        <v>85</v>
      </c>
      <c r="G15" s="42">
        <v>3</v>
      </c>
      <c r="H15" s="42">
        <f>22+3+15+9+24+1</f>
        <v>74</v>
      </c>
      <c r="I15" s="42">
        <v>3</v>
      </c>
      <c r="J15" s="42">
        <f>23+1+14+10+25+1</f>
        <v>74</v>
      </c>
      <c r="K15" s="42">
        <v>3</v>
      </c>
      <c r="L15" s="43">
        <f t="shared" si="1"/>
        <v>313</v>
      </c>
      <c r="M15" s="44">
        <f t="shared" si="1"/>
        <v>12</v>
      </c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6">
        <f t="shared" si="2"/>
        <v>0</v>
      </c>
      <c r="AA15" s="47">
        <f t="shared" si="2"/>
        <v>0</v>
      </c>
      <c r="AB15" s="45"/>
      <c r="AC15" s="45"/>
      <c r="AD15" s="45"/>
      <c r="AE15" s="45"/>
      <c r="AF15" s="45"/>
      <c r="AG15" s="48"/>
      <c r="AH15" s="46">
        <f t="shared" si="3"/>
        <v>0</v>
      </c>
      <c r="AI15" s="49">
        <f t="shared" si="3"/>
        <v>0</v>
      </c>
      <c r="AJ15" s="43">
        <f t="shared" si="6"/>
        <v>313</v>
      </c>
      <c r="AK15" s="44">
        <f t="shared" si="6"/>
        <v>12</v>
      </c>
    </row>
    <row r="16" spans="1:46" ht="20.100000000000001" customHeight="1" thickBot="1" x14ac:dyDescent="0.3">
      <c r="A16" s="50" t="s">
        <v>30</v>
      </c>
      <c r="B16" s="51"/>
      <c r="C16" s="52"/>
      <c r="D16" s="53">
        <f t="shared" ref="D16:M16" si="7">SUM(D11,D12,D13,D14,D15)</f>
        <v>337</v>
      </c>
      <c r="E16" s="53">
        <f t="shared" si="7"/>
        <v>14</v>
      </c>
      <c r="F16" s="53">
        <f t="shared" si="7"/>
        <v>363</v>
      </c>
      <c r="G16" s="53">
        <f t="shared" si="7"/>
        <v>13</v>
      </c>
      <c r="H16" s="53">
        <f t="shared" si="7"/>
        <v>340</v>
      </c>
      <c r="I16" s="53">
        <f t="shared" si="7"/>
        <v>14</v>
      </c>
      <c r="J16" s="53">
        <f t="shared" si="7"/>
        <v>326</v>
      </c>
      <c r="K16" s="53">
        <f t="shared" si="7"/>
        <v>13</v>
      </c>
      <c r="L16" s="53">
        <f t="shared" si="7"/>
        <v>1366</v>
      </c>
      <c r="M16" s="53">
        <f t="shared" si="7"/>
        <v>54</v>
      </c>
      <c r="N16" s="57">
        <f t="shared" ref="N16:Y16" si="8">SUM(N10,N11,N12,N13,N14,N15)</f>
        <v>0</v>
      </c>
      <c r="O16" s="57">
        <f t="shared" si="8"/>
        <v>0</v>
      </c>
      <c r="P16" s="57">
        <f t="shared" si="8"/>
        <v>0</v>
      </c>
      <c r="Q16" s="57">
        <f t="shared" si="8"/>
        <v>0</v>
      </c>
      <c r="R16" s="57">
        <f t="shared" si="8"/>
        <v>0</v>
      </c>
      <c r="S16" s="57">
        <f t="shared" si="8"/>
        <v>0</v>
      </c>
      <c r="T16" s="57">
        <f t="shared" si="8"/>
        <v>0</v>
      </c>
      <c r="U16" s="57">
        <f t="shared" si="8"/>
        <v>0</v>
      </c>
      <c r="V16" s="57">
        <f t="shared" si="8"/>
        <v>0</v>
      </c>
      <c r="W16" s="57">
        <f t="shared" si="8"/>
        <v>0</v>
      </c>
      <c r="X16" s="57">
        <f t="shared" si="8"/>
        <v>0</v>
      </c>
      <c r="Y16" s="57">
        <f t="shared" si="8"/>
        <v>0</v>
      </c>
      <c r="Z16" s="58"/>
      <c r="AA16" s="59"/>
      <c r="AB16" s="57"/>
      <c r="AC16" s="57"/>
      <c r="AD16" s="57"/>
      <c r="AE16" s="57"/>
      <c r="AF16" s="57"/>
      <c r="AG16" s="57"/>
      <c r="AH16" s="58"/>
      <c r="AI16" s="60"/>
      <c r="AJ16" s="55">
        <f>SUM(AJ10,AJ11,AJ12,AJ13,AJ14,AJ15)</f>
        <v>1366</v>
      </c>
      <c r="AK16" s="56">
        <f>SUM(AK10,AK11,AK12,AK13,AK14,AK15)</f>
        <v>54</v>
      </c>
    </row>
    <row r="17" spans="1:37" ht="15.75" x14ac:dyDescent="0.25">
      <c r="A17" s="61" t="s">
        <v>317</v>
      </c>
      <c r="B17" s="62"/>
      <c r="C17" s="63"/>
      <c r="D17" s="64">
        <f>11+7</f>
        <v>18</v>
      </c>
      <c r="E17" s="65">
        <v>1</v>
      </c>
      <c r="F17" s="65">
        <f>9+11+1+1</f>
        <v>22</v>
      </c>
      <c r="G17" s="65">
        <v>1</v>
      </c>
      <c r="H17" s="65">
        <f>5+1+12+3+15</f>
        <v>36</v>
      </c>
      <c r="I17" s="65">
        <v>2</v>
      </c>
      <c r="J17" s="65">
        <f>3+13+1</f>
        <v>17</v>
      </c>
      <c r="K17" s="65">
        <v>1</v>
      </c>
      <c r="L17" s="66">
        <f t="shared" si="1"/>
        <v>93</v>
      </c>
      <c r="M17" s="67">
        <f t="shared" si="1"/>
        <v>5</v>
      </c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9">
        <f t="shared" si="2"/>
        <v>0</v>
      </c>
      <c r="AA17" s="70">
        <f t="shared" si="2"/>
        <v>0</v>
      </c>
      <c r="AB17" s="68"/>
      <c r="AC17" s="68"/>
      <c r="AD17" s="68"/>
      <c r="AE17" s="68"/>
      <c r="AF17" s="68"/>
      <c r="AG17" s="68"/>
      <c r="AH17" s="69">
        <f t="shared" si="3"/>
        <v>0</v>
      </c>
      <c r="AI17" s="71">
        <f t="shared" si="3"/>
        <v>0</v>
      </c>
      <c r="AJ17" s="66">
        <f t="shared" ref="AJ17:AK21" si="9">SUM(L17,Z17,AH17)</f>
        <v>93</v>
      </c>
      <c r="AK17" s="67">
        <f t="shared" si="9"/>
        <v>5</v>
      </c>
    </row>
    <row r="18" spans="1:37" ht="15.75" x14ac:dyDescent="0.25">
      <c r="A18" s="27" t="s">
        <v>316</v>
      </c>
      <c r="B18" s="28"/>
      <c r="C18" s="72"/>
      <c r="D18" s="30">
        <f>6+12+9+9</f>
        <v>36</v>
      </c>
      <c r="E18" s="31">
        <v>2</v>
      </c>
      <c r="F18" s="31">
        <f>15+3+4+11+7+3+1</f>
        <v>44</v>
      </c>
      <c r="G18" s="31">
        <v>2</v>
      </c>
      <c r="H18" s="31">
        <f>11+12+14+9</f>
        <v>46</v>
      </c>
      <c r="I18" s="31">
        <v>2</v>
      </c>
      <c r="J18" s="31">
        <f>6+12+1+5+13+2+1</f>
        <v>40</v>
      </c>
      <c r="K18" s="31">
        <v>2</v>
      </c>
      <c r="L18" s="32">
        <f t="shared" si="1"/>
        <v>166</v>
      </c>
      <c r="M18" s="33">
        <f t="shared" si="1"/>
        <v>8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5">
        <f t="shared" si="2"/>
        <v>0</v>
      </c>
      <c r="AA18" s="36">
        <f t="shared" si="2"/>
        <v>0</v>
      </c>
      <c r="AB18" s="34"/>
      <c r="AC18" s="34"/>
      <c r="AD18" s="34"/>
      <c r="AE18" s="34"/>
      <c r="AF18" s="34"/>
      <c r="AG18" s="34"/>
      <c r="AH18" s="35">
        <f t="shared" si="3"/>
        <v>0</v>
      </c>
      <c r="AI18" s="37">
        <f t="shared" si="3"/>
        <v>0</v>
      </c>
      <c r="AJ18" s="32">
        <f t="shared" si="9"/>
        <v>166</v>
      </c>
      <c r="AK18" s="33">
        <f t="shared" si="9"/>
        <v>8</v>
      </c>
    </row>
    <row r="19" spans="1:37" ht="15.75" x14ac:dyDescent="0.25">
      <c r="A19" s="27" t="s">
        <v>289</v>
      </c>
      <c r="B19" s="28"/>
      <c r="C19" s="72"/>
      <c r="D19" s="74">
        <f>5+18+10+14</f>
        <v>47</v>
      </c>
      <c r="E19" s="31">
        <v>2</v>
      </c>
      <c r="F19" s="42">
        <f>9+2+12+1+4+7+20+1</f>
        <v>56</v>
      </c>
      <c r="G19" s="31">
        <v>2</v>
      </c>
      <c r="H19" s="42">
        <f>9+11+7+1+17</f>
        <v>45</v>
      </c>
      <c r="I19" s="31">
        <v>2</v>
      </c>
      <c r="J19" s="42">
        <f>10+12+16+8</f>
        <v>46</v>
      </c>
      <c r="K19" s="31">
        <v>2</v>
      </c>
      <c r="L19" s="32">
        <f t="shared" si="1"/>
        <v>194</v>
      </c>
      <c r="M19" s="33">
        <f t="shared" si="1"/>
        <v>8</v>
      </c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5">
        <f t="shared" si="2"/>
        <v>0</v>
      </c>
      <c r="AA19" s="36">
        <f t="shared" si="2"/>
        <v>0</v>
      </c>
      <c r="AB19" s="34"/>
      <c r="AC19" s="34"/>
      <c r="AD19" s="34"/>
      <c r="AE19" s="34"/>
      <c r="AF19" s="34"/>
      <c r="AG19" s="34"/>
      <c r="AH19" s="35">
        <f t="shared" si="3"/>
        <v>0</v>
      </c>
      <c r="AI19" s="37">
        <f t="shared" si="3"/>
        <v>0</v>
      </c>
      <c r="AJ19" s="32">
        <f t="shared" si="9"/>
        <v>194</v>
      </c>
      <c r="AK19" s="33">
        <f t="shared" si="9"/>
        <v>8</v>
      </c>
    </row>
    <row r="20" spans="1:37" ht="15.75" x14ac:dyDescent="0.25">
      <c r="A20" s="27" t="s">
        <v>290</v>
      </c>
      <c r="B20" s="28"/>
      <c r="C20" s="72"/>
      <c r="D20" s="30">
        <f>10+15</f>
        <v>25</v>
      </c>
      <c r="E20" s="31">
        <v>1</v>
      </c>
      <c r="F20" s="31">
        <f>16+2+5+1</f>
        <v>24</v>
      </c>
      <c r="G20" s="31">
        <v>1</v>
      </c>
      <c r="H20" s="31">
        <f>15+9</f>
        <v>24</v>
      </c>
      <c r="I20" s="31">
        <v>1</v>
      </c>
      <c r="J20" s="31">
        <f>13+1+11</f>
        <v>25</v>
      </c>
      <c r="K20" s="31">
        <v>1</v>
      </c>
      <c r="L20" s="32">
        <f t="shared" si="1"/>
        <v>98</v>
      </c>
      <c r="M20" s="33">
        <f t="shared" si="1"/>
        <v>4</v>
      </c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 t="s">
        <v>183</v>
      </c>
      <c r="Z20" s="35">
        <f t="shared" si="2"/>
        <v>0</v>
      </c>
      <c r="AA20" s="36">
        <f t="shared" si="2"/>
        <v>0</v>
      </c>
      <c r="AB20" s="34"/>
      <c r="AC20" s="34"/>
      <c r="AD20" s="34"/>
      <c r="AE20" s="34"/>
      <c r="AF20" s="34"/>
      <c r="AG20" s="34"/>
      <c r="AH20" s="35">
        <f t="shared" si="3"/>
        <v>0</v>
      </c>
      <c r="AI20" s="37">
        <f t="shared" si="3"/>
        <v>0</v>
      </c>
      <c r="AJ20" s="32">
        <f t="shared" si="9"/>
        <v>98</v>
      </c>
      <c r="AK20" s="33">
        <f t="shared" si="9"/>
        <v>4</v>
      </c>
    </row>
    <row r="21" spans="1:37" s="861" customFormat="1" ht="16.5" thickBot="1" x14ac:dyDescent="0.3">
      <c r="A21" s="38" t="s">
        <v>300</v>
      </c>
      <c r="B21" s="73"/>
      <c r="C21" s="40"/>
      <c r="D21" s="74">
        <f>7+11+1+2+10+13+1+7+15</f>
        <v>67</v>
      </c>
      <c r="E21" s="42">
        <v>3</v>
      </c>
      <c r="F21" s="42">
        <f>16+1+1+1+1+3+19+1+3+1+21+1+3</f>
        <v>72</v>
      </c>
      <c r="G21" s="42">
        <v>3</v>
      </c>
      <c r="H21" s="42">
        <f>16+2+2+1+20+1+1+20+2</f>
        <v>65</v>
      </c>
      <c r="I21" s="42">
        <v>3</v>
      </c>
      <c r="J21" s="42">
        <f>18+2+1+13+5+1+1+21+1+1</f>
        <v>64</v>
      </c>
      <c r="K21" s="42">
        <v>3</v>
      </c>
      <c r="L21" s="43">
        <f t="shared" si="1"/>
        <v>268</v>
      </c>
      <c r="M21" s="44">
        <f>SUM(E21,G21,I21,K21)</f>
        <v>12</v>
      </c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6">
        <f>SUM(N21,P21,R21,T21,V21,X21)</f>
        <v>0</v>
      </c>
      <c r="AA21" s="47">
        <f>SUM(O21,Q21,S21,U21,W21,Y21)</f>
        <v>0</v>
      </c>
      <c r="AB21" s="45"/>
      <c r="AC21" s="45"/>
      <c r="AD21" s="45"/>
      <c r="AE21" s="45"/>
      <c r="AF21" s="45"/>
      <c r="AG21" s="48"/>
      <c r="AH21" s="46">
        <f t="shared" si="3"/>
        <v>0</v>
      </c>
      <c r="AI21" s="49">
        <f t="shared" si="3"/>
        <v>0</v>
      </c>
      <c r="AJ21" s="43">
        <f t="shared" si="9"/>
        <v>268</v>
      </c>
      <c r="AK21" s="44">
        <f t="shared" si="9"/>
        <v>12</v>
      </c>
    </row>
    <row r="22" spans="1:37" ht="20.100000000000001" customHeight="1" thickBot="1" x14ac:dyDescent="0.3">
      <c r="A22" s="50" t="s">
        <v>31</v>
      </c>
      <c r="B22" s="51"/>
      <c r="C22" s="52"/>
      <c r="D22" s="53">
        <f>SUM(D17:D21)</f>
        <v>193</v>
      </c>
      <c r="E22" s="53">
        <f t="shared" ref="E22:K22" si="10">SUM(E17:E21)</f>
        <v>9</v>
      </c>
      <c r="F22" s="53">
        <f t="shared" si="10"/>
        <v>218</v>
      </c>
      <c r="G22" s="53">
        <f t="shared" si="10"/>
        <v>9</v>
      </c>
      <c r="H22" s="53">
        <f t="shared" si="10"/>
        <v>216</v>
      </c>
      <c r="I22" s="53">
        <f t="shared" si="10"/>
        <v>10</v>
      </c>
      <c r="J22" s="53">
        <f t="shared" si="10"/>
        <v>192</v>
      </c>
      <c r="K22" s="53">
        <f t="shared" si="10"/>
        <v>9</v>
      </c>
      <c r="L22" s="55">
        <f t="shared" ref="L22:AK22" si="11">SUM(L17,L18,L19,L20,L21)</f>
        <v>819</v>
      </c>
      <c r="M22" s="56">
        <f t="shared" si="11"/>
        <v>37</v>
      </c>
      <c r="N22" s="57">
        <f t="shared" si="11"/>
        <v>0</v>
      </c>
      <c r="O22" s="57">
        <f t="shared" si="11"/>
        <v>0</v>
      </c>
      <c r="P22" s="57">
        <f t="shared" si="11"/>
        <v>0</v>
      </c>
      <c r="Q22" s="57">
        <f t="shared" si="11"/>
        <v>0</v>
      </c>
      <c r="R22" s="57">
        <f t="shared" si="11"/>
        <v>0</v>
      </c>
      <c r="S22" s="57">
        <f t="shared" si="11"/>
        <v>0</v>
      </c>
      <c r="T22" s="57">
        <f t="shared" si="11"/>
        <v>0</v>
      </c>
      <c r="U22" s="57">
        <f t="shared" si="11"/>
        <v>0</v>
      </c>
      <c r="V22" s="57">
        <f t="shared" si="11"/>
        <v>0</v>
      </c>
      <c r="W22" s="57">
        <f t="shared" si="11"/>
        <v>0</v>
      </c>
      <c r="X22" s="57">
        <f t="shared" si="11"/>
        <v>0</v>
      </c>
      <c r="Y22" s="57">
        <f t="shared" si="11"/>
        <v>0</v>
      </c>
      <c r="Z22" s="58"/>
      <c r="AA22" s="59"/>
      <c r="AB22" s="60"/>
      <c r="AC22" s="57"/>
      <c r="AD22" s="57"/>
      <c r="AE22" s="57"/>
      <c r="AF22" s="57"/>
      <c r="AG22" s="57"/>
      <c r="AH22" s="58"/>
      <c r="AI22" s="60"/>
      <c r="AJ22" s="55">
        <f t="shared" si="11"/>
        <v>819</v>
      </c>
      <c r="AK22" s="56">
        <f t="shared" si="11"/>
        <v>37</v>
      </c>
    </row>
    <row r="23" spans="1:37" ht="15.75" x14ac:dyDescent="0.25">
      <c r="A23" s="61" t="s">
        <v>32</v>
      </c>
      <c r="B23" s="62"/>
      <c r="C23" s="63"/>
      <c r="D23" s="64">
        <f>14+7+8+13+14+6+13+9</f>
        <v>84</v>
      </c>
      <c r="E23" s="65">
        <v>4</v>
      </c>
      <c r="F23" s="65">
        <f>21+1+1+1+21+3+21+1+1+2+19+1+1+1</f>
        <v>95</v>
      </c>
      <c r="G23" s="65">
        <v>4</v>
      </c>
      <c r="H23" s="65">
        <f>25+1+1+24+1+1+24+1</f>
        <v>78</v>
      </c>
      <c r="I23" s="65">
        <v>3</v>
      </c>
      <c r="J23" s="65">
        <f>14+5+19+1+22+1+13+7</f>
        <v>82</v>
      </c>
      <c r="K23" s="65">
        <v>4</v>
      </c>
      <c r="L23" s="66">
        <f>SUM(D23,F23,H23,J23)</f>
        <v>339</v>
      </c>
      <c r="M23" s="67">
        <f>SUM(E23,G23,I23,K23)</f>
        <v>15</v>
      </c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9">
        <f>SUM(N23,P23,R23,T23,V23,X23)</f>
        <v>0</v>
      </c>
      <c r="AA23" s="70">
        <f>SUM(O23,Q23,S23,U23,W23,Y23)</f>
        <v>0</v>
      </c>
      <c r="AB23" s="68"/>
      <c r="AC23" s="68"/>
      <c r="AD23" s="68"/>
      <c r="AE23" s="68"/>
      <c r="AF23" s="68"/>
      <c r="AG23" s="68"/>
      <c r="AH23" s="69">
        <f>SUM(AB23,AD23,AF23)</f>
        <v>0</v>
      </c>
      <c r="AI23" s="71">
        <f>SUM(AC23,AE23,AG23)</f>
        <v>0</v>
      </c>
      <c r="AJ23" s="66">
        <f>SUM(L23,Z23,AH23)</f>
        <v>339</v>
      </c>
      <c r="AK23" s="67">
        <f>SUM(M23,AA23,AI23)</f>
        <v>15</v>
      </c>
    </row>
    <row r="24" spans="1:37" s="861" customFormat="1" ht="16.5" thickBot="1" x14ac:dyDescent="0.3">
      <c r="A24" s="38" t="s">
        <v>33</v>
      </c>
      <c r="B24" s="73"/>
      <c r="C24" s="40"/>
      <c r="D24" s="74">
        <f>10+9+10+8</f>
        <v>37</v>
      </c>
      <c r="E24" s="859">
        <v>2</v>
      </c>
      <c r="F24" s="42">
        <f>17+1+5+2+14+1+11+1</f>
        <v>52</v>
      </c>
      <c r="G24" s="859">
        <v>2</v>
      </c>
      <c r="H24" s="42">
        <f>15+9+1+16+11</f>
        <v>52</v>
      </c>
      <c r="I24" s="42">
        <v>2</v>
      </c>
      <c r="J24" s="42">
        <f>15+9+12+13+1</f>
        <v>50</v>
      </c>
      <c r="K24" s="42">
        <v>2</v>
      </c>
      <c r="L24" s="66">
        <f>SUM(D24,F24,H24,J24)</f>
        <v>191</v>
      </c>
      <c r="M24" s="67">
        <f>SUM(E24,G24,I24,K24)</f>
        <v>8</v>
      </c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6">
        <f>SUM(N24,P24,R24,T24,V24,X24)</f>
        <v>0</v>
      </c>
      <c r="AA24" s="47">
        <f>SUM(O24,Q24,S24,U24,W24,Y24)</f>
        <v>0</v>
      </c>
      <c r="AB24" s="45"/>
      <c r="AC24" s="45"/>
      <c r="AD24" s="45"/>
      <c r="AE24" s="45"/>
      <c r="AF24" s="45"/>
      <c r="AG24" s="48"/>
      <c r="AH24" s="46">
        <f>SUM(AB24,AD24,AF24)</f>
        <v>0</v>
      </c>
      <c r="AI24" s="49">
        <f>SUM(AC24,AE24,AG24)</f>
        <v>0</v>
      </c>
      <c r="AJ24" s="43">
        <f>SUM(L24,Z24,AH24)</f>
        <v>191</v>
      </c>
      <c r="AK24" s="44">
        <f>SUM(M24,AA24,AI24)</f>
        <v>8</v>
      </c>
    </row>
    <row r="25" spans="1:37" s="861" customFormat="1" ht="20.100000000000001" customHeight="1" thickBot="1" x14ac:dyDescent="0.3">
      <c r="A25" s="50" t="s">
        <v>34</v>
      </c>
      <c r="B25" s="51"/>
      <c r="C25" s="52"/>
      <c r="D25" s="53">
        <f>SUM(D23,D24)</f>
        <v>121</v>
      </c>
      <c r="E25" s="53">
        <f t="shared" ref="E25:K25" si="12">SUM(E23,E24)</f>
        <v>6</v>
      </c>
      <c r="F25" s="53">
        <f t="shared" si="12"/>
        <v>147</v>
      </c>
      <c r="G25" s="53">
        <f t="shared" si="12"/>
        <v>6</v>
      </c>
      <c r="H25" s="53">
        <f t="shared" si="12"/>
        <v>130</v>
      </c>
      <c r="I25" s="53">
        <f t="shared" si="12"/>
        <v>5</v>
      </c>
      <c r="J25" s="53">
        <f t="shared" si="12"/>
        <v>132</v>
      </c>
      <c r="K25" s="53">
        <f t="shared" si="12"/>
        <v>6</v>
      </c>
      <c r="L25" s="55">
        <f t="shared" ref="L25:AK25" si="13">SUM(L23,L24)</f>
        <v>530</v>
      </c>
      <c r="M25" s="76">
        <f t="shared" si="13"/>
        <v>23</v>
      </c>
      <c r="N25" s="77">
        <f t="shared" si="13"/>
        <v>0</v>
      </c>
      <c r="O25" s="77">
        <f t="shared" si="13"/>
        <v>0</v>
      </c>
      <c r="P25" s="77">
        <f t="shared" si="13"/>
        <v>0</v>
      </c>
      <c r="Q25" s="77">
        <f t="shared" si="13"/>
        <v>0</v>
      </c>
      <c r="R25" s="77">
        <f t="shared" si="13"/>
        <v>0</v>
      </c>
      <c r="S25" s="77">
        <f t="shared" si="13"/>
        <v>0</v>
      </c>
      <c r="T25" s="77">
        <f t="shared" si="13"/>
        <v>0</v>
      </c>
      <c r="U25" s="77">
        <f t="shared" si="13"/>
        <v>0</v>
      </c>
      <c r="V25" s="77">
        <f t="shared" si="13"/>
        <v>0</v>
      </c>
      <c r="W25" s="77">
        <f t="shared" si="13"/>
        <v>0</v>
      </c>
      <c r="X25" s="77">
        <f t="shared" si="13"/>
        <v>0</v>
      </c>
      <c r="Y25" s="78">
        <f t="shared" si="13"/>
        <v>0</v>
      </c>
      <c r="Z25" s="79">
        <f t="shared" si="13"/>
        <v>0</v>
      </c>
      <c r="AA25" s="80">
        <f t="shared" si="13"/>
        <v>0</v>
      </c>
      <c r="AB25" s="77">
        <f t="shared" si="13"/>
        <v>0</v>
      </c>
      <c r="AC25" s="77">
        <f t="shared" si="13"/>
        <v>0</v>
      </c>
      <c r="AD25" s="77">
        <f t="shared" si="13"/>
        <v>0</v>
      </c>
      <c r="AE25" s="77">
        <f t="shared" si="13"/>
        <v>0</v>
      </c>
      <c r="AF25" s="77">
        <f t="shared" si="13"/>
        <v>0</v>
      </c>
      <c r="AG25" s="78">
        <f t="shared" si="13"/>
        <v>0</v>
      </c>
      <c r="AH25" s="79">
        <f t="shared" si="13"/>
        <v>0</v>
      </c>
      <c r="AI25" s="80">
        <f t="shared" si="13"/>
        <v>0</v>
      </c>
      <c r="AJ25" s="53">
        <f t="shared" si="13"/>
        <v>530</v>
      </c>
      <c r="AK25" s="53">
        <f t="shared" si="13"/>
        <v>23</v>
      </c>
    </row>
    <row r="26" spans="1:37" ht="20.100000000000001" customHeight="1" thickBot="1" x14ac:dyDescent="0.3">
      <c r="A26" s="81" t="s">
        <v>293</v>
      </c>
      <c r="B26" s="82"/>
      <c r="C26" s="83"/>
      <c r="D26" s="84">
        <f>SUM(D25,D22,D16,D9)</f>
        <v>840</v>
      </c>
      <c r="E26" s="84">
        <f t="shared" ref="E26:K26" si="14">SUM(E25,E22,E16,E9)</f>
        <v>37</v>
      </c>
      <c r="F26" s="84">
        <f t="shared" si="14"/>
        <v>932</v>
      </c>
      <c r="G26" s="84">
        <f t="shared" si="14"/>
        <v>35</v>
      </c>
      <c r="H26" s="84">
        <f t="shared" si="14"/>
        <v>882</v>
      </c>
      <c r="I26" s="84">
        <f t="shared" si="14"/>
        <v>37</v>
      </c>
      <c r="J26" s="84">
        <f t="shared" si="14"/>
        <v>882</v>
      </c>
      <c r="K26" s="84">
        <f t="shared" si="14"/>
        <v>38</v>
      </c>
      <c r="L26" s="87">
        <f t="shared" ref="L26:AK26" si="15">SUM(L25,L22,L16,L9)</f>
        <v>3536</v>
      </c>
      <c r="M26" s="88">
        <f t="shared" si="15"/>
        <v>147</v>
      </c>
      <c r="N26" s="89">
        <f t="shared" si="15"/>
        <v>0</v>
      </c>
      <c r="O26" s="90">
        <f t="shared" si="15"/>
        <v>0</v>
      </c>
      <c r="P26" s="90">
        <f t="shared" si="15"/>
        <v>0</v>
      </c>
      <c r="Q26" s="90">
        <f t="shared" si="15"/>
        <v>0</v>
      </c>
      <c r="R26" s="90">
        <f t="shared" si="15"/>
        <v>0</v>
      </c>
      <c r="S26" s="90">
        <f t="shared" si="15"/>
        <v>0</v>
      </c>
      <c r="T26" s="90">
        <f t="shared" si="15"/>
        <v>0</v>
      </c>
      <c r="U26" s="90">
        <f t="shared" si="15"/>
        <v>0</v>
      </c>
      <c r="V26" s="90">
        <f t="shared" si="15"/>
        <v>0</v>
      </c>
      <c r="W26" s="90">
        <f t="shared" si="15"/>
        <v>0</v>
      </c>
      <c r="X26" s="90">
        <f t="shared" si="15"/>
        <v>0</v>
      </c>
      <c r="Y26" s="91">
        <f t="shared" si="15"/>
        <v>0</v>
      </c>
      <c r="Z26" s="92">
        <f t="shared" si="15"/>
        <v>0</v>
      </c>
      <c r="AA26" s="93">
        <f t="shared" si="15"/>
        <v>0</v>
      </c>
      <c r="AB26" s="89">
        <f t="shared" si="15"/>
        <v>0</v>
      </c>
      <c r="AC26" s="90">
        <f t="shared" si="15"/>
        <v>0</v>
      </c>
      <c r="AD26" s="90">
        <f t="shared" si="15"/>
        <v>0</v>
      </c>
      <c r="AE26" s="90">
        <f t="shared" si="15"/>
        <v>0</v>
      </c>
      <c r="AF26" s="90">
        <f t="shared" si="15"/>
        <v>0</v>
      </c>
      <c r="AG26" s="90">
        <f t="shared" si="15"/>
        <v>0</v>
      </c>
      <c r="AH26" s="92">
        <f t="shared" si="15"/>
        <v>0</v>
      </c>
      <c r="AI26" s="91">
        <f t="shared" si="15"/>
        <v>0</v>
      </c>
      <c r="AJ26" s="87">
        <f t="shared" si="15"/>
        <v>3536</v>
      </c>
      <c r="AK26" s="88">
        <f t="shared" si="15"/>
        <v>147</v>
      </c>
    </row>
    <row r="27" spans="1:37" ht="16.5" thickBot="1" x14ac:dyDescent="0.3">
      <c r="A27" s="27" t="s">
        <v>36</v>
      </c>
      <c r="B27" s="94"/>
      <c r="C27" s="95"/>
      <c r="D27" s="96"/>
      <c r="E27" s="34"/>
      <c r="F27" s="34"/>
      <c r="G27" s="34"/>
      <c r="H27" s="34"/>
      <c r="I27" s="34"/>
      <c r="J27" s="34"/>
      <c r="K27" s="34"/>
      <c r="L27" s="35">
        <f>SUM(D27,F27,H27,J27)</f>
        <v>0</v>
      </c>
      <c r="M27" s="36">
        <f>SUM(E27,G27,I27,K27)</f>
        <v>0</v>
      </c>
      <c r="N27" s="31">
        <f>17+10+1+5+19</f>
        <v>52</v>
      </c>
      <c r="O27" s="31">
        <v>3</v>
      </c>
      <c r="P27" s="31">
        <f>21+1+19+1+3+1</f>
        <v>46</v>
      </c>
      <c r="Q27" s="31">
        <v>2</v>
      </c>
      <c r="R27" s="31">
        <f>18+8+1+1+8</f>
        <v>36</v>
      </c>
      <c r="S27" s="31">
        <v>2</v>
      </c>
      <c r="T27" s="31">
        <f>25+1+18+1+3+3</f>
        <v>51</v>
      </c>
      <c r="U27" s="31">
        <v>2</v>
      </c>
      <c r="V27" s="31">
        <f>22+1+16+1+1+1+4+1</f>
        <v>47</v>
      </c>
      <c r="W27" s="31">
        <v>2</v>
      </c>
      <c r="X27" s="31">
        <f>16+14+1+1+13+1+1</f>
        <v>47</v>
      </c>
      <c r="Y27" s="862">
        <v>2</v>
      </c>
      <c r="Z27" s="97">
        <f>SUM(N27,P27,R27,T27,V27,X27)</f>
        <v>279</v>
      </c>
      <c r="AA27" s="98">
        <f>SUM(O27,Q27,S27,U27,W27,Y27)</f>
        <v>13</v>
      </c>
      <c r="AB27" s="96"/>
      <c r="AC27" s="34"/>
      <c r="AD27" s="34"/>
      <c r="AE27" s="34"/>
      <c r="AF27" s="34"/>
      <c r="AG27" s="37"/>
      <c r="AH27" s="99"/>
      <c r="AI27" s="100"/>
      <c r="AJ27" s="32">
        <f>SUM(Z27)</f>
        <v>279</v>
      </c>
      <c r="AK27" s="98">
        <f>SUM(M27,AA27,AI27)</f>
        <v>13</v>
      </c>
    </row>
    <row r="28" spans="1:37" s="861" customFormat="1" ht="16.5" thickBot="1" x14ac:dyDescent="0.3">
      <c r="A28" s="101" t="s">
        <v>38</v>
      </c>
      <c r="B28" s="102"/>
      <c r="C28" s="103"/>
      <c r="D28" s="632"/>
      <c r="E28" s="633"/>
      <c r="F28" s="633"/>
      <c r="G28" s="633"/>
      <c r="H28" s="633"/>
      <c r="I28" s="633"/>
      <c r="J28" s="633"/>
      <c r="K28" s="633"/>
      <c r="L28" s="832"/>
      <c r="M28" s="833"/>
      <c r="N28" s="54">
        <f t="shared" ref="N28:AA28" si="16">SUM(N26:N27)</f>
        <v>52</v>
      </c>
      <c r="O28" s="54">
        <f t="shared" si="16"/>
        <v>3</v>
      </c>
      <c r="P28" s="54">
        <f t="shared" si="16"/>
        <v>46</v>
      </c>
      <c r="Q28" s="54">
        <f t="shared" si="16"/>
        <v>2</v>
      </c>
      <c r="R28" s="54">
        <f t="shared" si="16"/>
        <v>36</v>
      </c>
      <c r="S28" s="54">
        <f t="shared" si="16"/>
        <v>2</v>
      </c>
      <c r="T28" s="54">
        <f t="shared" si="16"/>
        <v>51</v>
      </c>
      <c r="U28" s="54">
        <f t="shared" si="16"/>
        <v>2</v>
      </c>
      <c r="V28" s="54">
        <f t="shared" si="16"/>
        <v>47</v>
      </c>
      <c r="W28" s="54">
        <f t="shared" si="16"/>
        <v>2</v>
      </c>
      <c r="X28" s="54">
        <f t="shared" si="16"/>
        <v>47</v>
      </c>
      <c r="Y28" s="104">
        <f t="shared" si="16"/>
        <v>2</v>
      </c>
      <c r="Z28" s="55">
        <f t="shared" si="16"/>
        <v>279</v>
      </c>
      <c r="AA28" s="56">
        <f t="shared" si="16"/>
        <v>13</v>
      </c>
      <c r="AB28" s="53"/>
      <c r="AC28" s="54"/>
      <c r="AD28" s="54"/>
      <c r="AE28" s="54"/>
      <c r="AF28" s="54"/>
      <c r="AG28" s="104"/>
      <c r="AH28" s="55"/>
      <c r="AI28" s="56"/>
      <c r="AJ28" s="55">
        <f>SUM(AJ27)</f>
        <v>279</v>
      </c>
      <c r="AK28" s="56">
        <f>AK27</f>
        <v>13</v>
      </c>
    </row>
    <row r="29" spans="1:37" s="108" customFormat="1" ht="16.5" thickBot="1" x14ac:dyDescent="0.3">
      <c r="A29" s="61" t="s">
        <v>282</v>
      </c>
      <c r="B29" s="105"/>
      <c r="C29" s="106"/>
      <c r="D29" s="107"/>
      <c r="E29" s="68"/>
      <c r="F29" s="68"/>
      <c r="G29" s="68"/>
      <c r="H29" s="68"/>
      <c r="I29" s="68"/>
      <c r="J29" s="68"/>
      <c r="K29" s="71"/>
      <c r="L29" s="99"/>
      <c r="M29" s="100"/>
      <c r="N29" s="64">
        <f>22+3+22+3+22+3+22+1+2</f>
        <v>100</v>
      </c>
      <c r="O29" s="65">
        <v>4</v>
      </c>
      <c r="P29" s="65">
        <f>19+4+28+27+29</f>
        <v>107</v>
      </c>
      <c r="Q29" s="65">
        <v>4</v>
      </c>
      <c r="R29" s="65">
        <f>19+1+4+24+23+1+1+26+1</f>
        <v>100</v>
      </c>
      <c r="S29" s="65">
        <v>4</v>
      </c>
      <c r="T29" s="65">
        <f>21+2+27+23+1+27</f>
        <v>101</v>
      </c>
      <c r="U29" s="65">
        <v>4</v>
      </c>
      <c r="V29" s="65">
        <f>26+1+1+1+30+29+30</f>
        <v>118</v>
      </c>
      <c r="W29" s="65">
        <v>4</v>
      </c>
      <c r="X29" s="65">
        <f>22+3+28+28+25</f>
        <v>106</v>
      </c>
      <c r="Y29" s="863">
        <v>4</v>
      </c>
      <c r="Z29" s="66">
        <f>SUM(N29,P29,R29,T29,V29,X29)</f>
        <v>632</v>
      </c>
      <c r="AA29" s="67">
        <f>SUM(O29,Q29,S29,U29,W29,Y29)</f>
        <v>24</v>
      </c>
      <c r="AB29" s="107"/>
      <c r="AC29" s="68"/>
      <c r="AD29" s="68"/>
      <c r="AE29" s="68"/>
      <c r="AF29" s="68"/>
      <c r="AG29" s="71"/>
      <c r="AH29" s="69"/>
      <c r="AI29" s="70"/>
      <c r="AJ29" s="66">
        <f>SUM(Z29)</f>
        <v>632</v>
      </c>
      <c r="AK29" s="67">
        <f>SUM(M29,AA29,AI29)</f>
        <v>24</v>
      </c>
    </row>
    <row r="30" spans="1:37" ht="16.5" hidden="1" customHeight="1" thickBot="1" x14ac:dyDescent="0.3">
      <c r="A30" s="646" t="s">
        <v>310</v>
      </c>
      <c r="B30" s="647"/>
      <c r="C30" s="648"/>
      <c r="D30" s="649"/>
      <c r="E30" s="650"/>
      <c r="F30" s="650"/>
      <c r="G30" s="650"/>
      <c r="H30" s="650"/>
      <c r="I30" s="650"/>
      <c r="J30" s="650"/>
      <c r="K30" s="651"/>
      <c r="L30" s="652"/>
      <c r="M30" s="653"/>
      <c r="N30" s="654"/>
      <c r="O30" s="864"/>
      <c r="P30" s="864"/>
      <c r="Q30" s="864"/>
      <c r="R30" s="864"/>
      <c r="S30" s="864"/>
      <c r="T30" s="864"/>
      <c r="U30" s="864"/>
      <c r="V30" s="864"/>
      <c r="W30" s="864"/>
      <c r="X30" s="864"/>
      <c r="Y30" s="865"/>
      <c r="Z30" s="655"/>
      <c r="AA30" s="656"/>
      <c r="AB30" s="649"/>
      <c r="AC30" s="650"/>
      <c r="AD30" s="650"/>
      <c r="AE30" s="650"/>
      <c r="AF30" s="650"/>
      <c r="AG30" s="651"/>
      <c r="AH30" s="652"/>
      <c r="AI30" s="653"/>
      <c r="AJ30" s="655"/>
      <c r="AK30" s="656"/>
    </row>
    <row r="31" spans="1:37" ht="16.5" thickBot="1" x14ac:dyDescent="0.3">
      <c r="A31" s="101" t="s">
        <v>55</v>
      </c>
      <c r="B31" s="102"/>
      <c r="C31" s="103"/>
      <c r="D31" s="632"/>
      <c r="E31" s="633"/>
      <c r="F31" s="633"/>
      <c r="G31" s="633"/>
      <c r="H31" s="633"/>
      <c r="I31" s="633"/>
      <c r="J31" s="633"/>
      <c r="K31" s="834"/>
      <c r="L31" s="832"/>
      <c r="M31" s="833"/>
      <c r="N31" s="53">
        <f t="shared" ref="N31:AA31" si="17">SUM(N29:N30)</f>
        <v>100</v>
      </c>
      <c r="O31" s="54">
        <f t="shared" si="17"/>
        <v>4</v>
      </c>
      <c r="P31" s="54">
        <f t="shared" si="17"/>
        <v>107</v>
      </c>
      <c r="Q31" s="54">
        <f t="shared" si="17"/>
        <v>4</v>
      </c>
      <c r="R31" s="54">
        <f t="shared" si="17"/>
        <v>100</v>
      </c>
      <c r="S31" s="54">
        <f t="shared" si="17"/>
        <v>4</v>
      </c>
      <c r="T31" s="54">
        <f t="shared" si="17"/>
        <v>101</v>
      </c>
      <c r="U31" s="54">
        <f t="shared" si="17"/>
        <v>4</v>
      </c>
      <c r="V31" s="54">
        <f t="shared" si="17"/>
        <v>118</v>
      </c>
      <c r="W31" s="54">
        <f t="shared" si="17"/>
        <v>4</v>
      </c>
      <c r="X31" s="54">
        <f t="shared" si="17"/>
        <v>106</v>
      </c>
      <c r="Y31" s="104">
        <f t="shared" si="17"/>
        <v>4</v>
      </c>
      <c r="Z31" s="55">
        <f t="shared" si="17"/>
        <v>632</v>
      </c>
      <c r="AA31" s="56">
        <f t="shared" si="17"/>
        <v>24</v>
      </c>
      <c r="AB31" s="53"/>
      <c r="AC31" s="54"/>
      <c r="AD31" s="54"/>
      <c r="AE31" s="54"/>
      <c r="AF31" s="54"/>
      <c r="AG31" s="104"/>
      <c r="AH31" s="55"/>
      <c r="AI31" s="56"/>
      <c r="AJ31" s="55">
        <f>SUM(AJ29:AJ30)</f>
        <v>632</v>
      </c>
      <c r="AK31" s="56">
        <f>SUM(AK29:AK30)</f>
        <v>24</v>
      </c>
    </row>
    <row r="32" spans="1:37" s="108" customFormat="1" ht="15.75" x14ac:dyDescent="0.25">
      <c r="A32" s="61" t="s">
        <v>39</v>
      </c>
      <c r="B32" s="105"/>
      <c r="C32" s="106"/>
      <c r="D32" s="107"/>
      <c r="E32" s="68"/>
      <c r="F32" s="68"/>
      <c r="G32" s="68"/>
      <c r="H32" s="68"/>
      <c r="I32" s="68"/>
      <c r="J32" s="68"/>
      <c r="K32" s="71"/>
      <c r="L32" s="69">
        <f t="shared" ref="L32:M35" si="18">SUM(D32,F32,H32,J32)</f>
        <v>0</v>
      </c>
      <c r="M32" s="70">
        <f t="shared" si="18"/>
        <v>0</v>
      </c>
      <c r="N32" s="64">
        <f>25+20</f>
        <v>45</v>
      </c>
      <c r="O32" s="65">
        <v>2</v>
      </c>
      <c r="P32" s="65">
        <f>31+32</f>
        <v>63</v>
      </c>
      <c r="Q32" s="65">
        <v>2</v>
      </c>
      <c r="R32" s="65">
        <f>32+29</f>
        <v>61</v>
      </c>
      <c r="S32" s="65">
        <v>2</v>
      </c>
      <c r="T32" s="65">
        <f>27+19+24</f>
        <v>70</v>
      </c>
      <c r="U32" s="65">
        <v>3</v>
      </c>
      <c r="V32" s="65">
        <f>24+21+21</f>
        <v>66</v>
      </c>
      <c r="W32" s="65">
        <v>3</v>
      </c>
      <c r="X32" s="609"/>
      <c r="Y32" s="866"/>
      <c r="Z32" s="66">
        <f t="shared" ref="Z32:AA35" si="19">SUM(N32,P32,R32,T32,V32,X32)</f>
        <v>305</v>
      </c>
      <c r="AA32" s="67">
        <f t="shared" si="19"/>
        <v>12</v>
      </c>
      <c r="AB32" s="64">
        <v>94</v>
      </c>
      <c r="AC32" s="109">
        <v>5</v>
      </c>
      <c r="AD32" s="65">
        <v>81</v>
      </c>
      <c r="AE32" s="109">
        <v>4</v>
      </c>
      <c r="AF32" s="65">
        <v>82</v>
      </c>
      <c r="AG32" s="109">
        <v>4</v>
      </c>
      <c r="AH32" s="97">
        <f>SUM(AB32,AD32,AF32)</f>
        <v>257</v>
      </c>
      <c r="AI32" s="110">
        <v>13</v>
      </c>
      <c r="AJ32" s="66">
        <f t="shared" ref="AJ32:AK35" si="20">SUM(L32,Z32,AH32)</f>
        <v>562</v>
      </c>
      <c r="AK32" s="67">
        <f t="shared" si="20"/>
        <v>25</v>
      </c>
    </row>
    <row r="33" spans="1:38" ht="15.75" x14ac:dyDescent="0.25">
      <c r="A33" s="27" t="s">
        <v>40</v>
      </c>
      <c r="B33" s="111"/>
      <c r="C33" s="112"/>
      <c r="D33" s="96"/>
      <c r="E33" s="34"/>
      <c r="F33" s="34"/>
      <c r="G33" s="34"/>
      <c r="H33" s="34"/>
      <c r="I33" s="34"/>
      <c r="J33" s="34"/>
      <c r="K33" s="37"/>
      <c r="L33" s="35">
        <f t="shared" si="18"/>
        <v>0</v>
      </c>
      <c r="M33" s="36">
        <f t="shared" si="18"/>
        <v>0</v>
      </c>
      <c r="N33" s="30">
        <f>28+26+26+30+29</f>
        <v>139</v>
      </c>
      <c r="O33" s="31">
        <v>5</v>
      </c>
      <c r="P33" s="31">
        <f>31+29+30+30+30</f>
        <v>150</v>
      </c>
      <c r="Q33" s="31">
        <v>5</v>
      </c>
      <c r="R33" s="31">
        <f>29+30+28+28+27</f>
        <v>142</v>
      </c>
      <c r="S33" s="31">
        <v>5</v>
      </c>
      <c r="T33" s="31">
        <f>31+29+29+29+29</f>
        <v>147</v>
      </c>
      <c r="U33" s="31">
        <v>5</v>
      </c>
      <c r="V33" s="31">
        <f>31+26+27+26+27</f>
        <v>137</v>
      </c>
      <c r="W33" s="31">
        <v>5</v>
      </c>
      <c r="X33" s="608"/>
      <c r="Y33" s="867"/>
      <c r="Z33" s="66">
        <f t="shared" si="19"/>
        <v>715</v>
      </c>
      <c r="AA33" s="33">
        <f t="shared" si="19"/>
        <v>25</v>
      </c>
      <c r="AB33" s="30">
        <v>139</v>
      </c>
      <c r="AC33" s="109">
        <v>7</v>
      </c>
      <c r="AD33" s="31">
        <v>167</v>
      </c>
      <c r="AE33" s="109">
        <v>9</v>
      </c>
      <c r="AF33" s="31">
        <v>129</v>
      </c>
      <c r="AG33" s="109">
        <v>7</v>
      </c>
      <c r="AH33" s="32">
        <f>SUM(AB33,AD33,AF33)</f>
        <v>435</v>
      </c>
      <c r="AI33" s="110">
        <v>23</v>
      </c>
      <c r="AJ33" s="32">
        <f>SUM(Z33+AH33)</f>
        <v>1150</v>
      </c>
      <c r="AK33" s="33">
        <f t="shared" si="20"/>
        <v>48</v>
      </c>
    </row>
    <row r="34" spans="1:38" ht="15.75" x14ac:dyDescent="0.25">
      <c r="A34" s="27" t="s">
        <v>41</v>
      </c>
      <c r="B34" s="111"/>
      <c r="C34" s="112"/>
      <c r="D34" s="96"/>
      <c r="E34" s="34"/>
      <c r="F34" s="34"/>
      <c r="G34" s="34"/>
      <c r="H34" s="34"/>
      <c r="I34" s="34"/>
      <c r="J34" s="34"/>
      <c r="K34" s="37"/>
      <c r="L34" s="35">
        <f t="shared" si="18"/>
        <v>0</v>
      </c>
      <c r="M34" s="36">
        <f t="shared" si="18"/>
        <v>0</v>
      </c>
      <c r="N34" s="30">
        <f>27+27+27+27</f>
        <v>108</v>
      </c>
      <c r="O34" s="31">
        <v>4</v>
      </c>
      <c r="P34" s="31">
        <f>27+1+28+28+27+28</f>
        <v>139</v>
      </c>
      <c r="Q34" s="31">
        <v>5</v>
      </c>
      <c r="R34" s="31">
        <f>26+27+29+26</f>
        <v>108</v>
      </c>
      <c r="S34" s="31">
        <v>4</v>
      </c>
      <c r="T34" s="31">
        <f>22+25+26+22</f>
        <v>95</v>
      </c>
      <c r="U34" s="31">
        <v>4</v>
      </c>
      <c r="V34" s="31">
        <f>28+21+27+27</f>
        <v>103</v>
      </c>
      <c r="W34" s="31">
        <v>4</v>
      </c>
      <c r="X34" s="608"/>
      <c r="Y34" s="867"/>
      <c r="Z34" s="32">
        <f t="shared" si="19"/>
        <v>553</v>
      </c>
      <c r="AA34" s="33">
        <f t="shared" si="19"/>
        <v>21</v>
      </c>
      <c r="AB34" s="30">
        <v>106</v>
      </c>
      <c r="AC34" s="109">
        <v>5</v>
      </c>
      <c r="AD34" s="31">
        <v>106</v>
      </c>
      <c r="AE34" s="109">
        <v>5</v>
      </c>
      <c r="AF34" s="31">
        <v>89</v>
      </c>
      <c r="AG34" s="109">
        <v>5</v>
      </c>
      <c r="AH34" s="32">
        <f>SUM(AB34,AD34,AF34)</f>
        <v>301</v>
      </c>
      <c r="AI34" s="110">
        <v>15</v>
      </c>
      <c r="AJ34" s="32">
        <f t="shared" si="20"/>
        <v>854</v>
      </c>
      <c r="AK34" s="33">
        <f t="shared" si="20"/>
        <v>36</v>
      </c>
    </row>
    <row r="35" spans="1:38" ht="16.5" thickBot="1" x14ac:dyDescent="0.3">
      <c r="A35" s="27" t="s">
        <v>42</v>
      </c>
      <c r="B35" s="111"/>
      <c r="C35" s="112"/>
      <c r="D35" s="96"/>
      <c r="E35" s="34"/>
      <c r="F35" s="34"/>
      <c r="G35" s="34"/>
      <c r="H35" s="34"/>
      <c r="I35" s="34"/>
      <c r="J35" s="34"/>
      <c r="K35" s="37"/>
      <c r="L35" s="35">
        <f t="shared" si="18"/>
        <v>0</v>
      </c>
      <c r="M35" s="36">
        <f t="shared" si="18"/>
        <v>0</v>
      </c>
      <c r="N35" s="30">
        <f>24+25+25</f>
        <v>74</v>
      </c>
      <c r="O35" s="31">
        <v>3</v>
      </c>
      <c r="P35" s="31">
        <f>27+20+3+26+1+28</f>
        <v>105</v>
      </c>
      <c r="Q35" s="31">
        <v>4</v>
      </c>
      <c r="R35" s="31">
        <f>29+26+24+26</f>
        <v>105</v>
      </c>
      <c r="S35" s="31">
        <v>4</v>
      </c>
      <c r="T35" s="31">
        <f>26+27+29+18+5+1</f>
        <v>106</v>
      </c>
      <c r="U35" s="31">
        <v>4</v>
      </c>
      <c r="V35" s="31">
        <f>26+27+28+28</f>
        <v>109</v>
      </c>
      <c r="W35" s="31">
        <v>4</v>
      </c>
      <c r="X35" s="608"/>
      <c r="Y35" s="867"/>
      <c r="Z35" s="113">
        <f t="shared" si="19"/>
        <v>499</v>
      </c>
      <c r="AA35" s="114">
        <f t="shared" si="19"/>
        <v>19</v>
      </c>
      <c r="AB35" s="30">
        <f>94+1</f>
        <v>95</v>
      </c>
      <c r="AC35" s="109">
        <v>5</v>
      </c>
      <c r="AD35" s="31">
        <f>2+88</f>
        <v>90</v>
      </c>
      <c r="AE35" s="109">
        <v>5</v>
      </c>
      <c r="AF35" s="31">
        <f>75+1+1</f>
        <v>77</v>
      </c>
      <c r="AG35" s="109">
        <v>4</v>
      </c>
      <c r="AH35" s="113">
        <f>SUM(AB35,AD35,AF35)</f>
        <v>262</v>
      </c>
      <c r="AI35" s="110">
        <v>14</v>
      </c>
      <c r="AJ35" s="113">
        <f t="shared" si="20"/>
        <v>761</v>
      </c>
      <c r="AK35" s="114">
        <f t="shared" si="20"/>
        <v>33</v>
      </c>
    </row>
    <row r="36" spans="1:38" s="861" customFormat="1" ht="16.5" thickBot="1" x14ac:dyDescent="0.3">
      <c r="A36" s="50" t="s">
        <v>43</v>
      </c>
      <c r="B36" s="115"/>
      <c r="C36" s="116"/>
      <c r="D36" s="835">
        <f t="shared" ref="D36:AB36" si="21">SUM(D32,D33,D34:D35)</f>
        <v>0</v>
      </c>
      <c r="E36" s="836">
        <f t="shared" si="21"/>
        <v>0</v>
      </c>
      <c r="F36" s="836">
        <f t="shared" si="21"/>
        <v>0</v>
      </c>
      <c r="G36" s="836">
        <f t="shared" si="21"/>
        <v>0</v>
      </c>
      <c r="H36" s="836">
        <f t="shared" si="21"/>
        <v>0</v>
      </c>
      <c r="I36" s="836">
        <f t="shared" si="21"/>
        <v>0</v>
      </c>
      <c r="J36" s="836">
        <f t="shared" si="21"/>
        <v>0</v>
      </c>
      <c r="K36" s="837">
        <f t="shared" si="21"/>
        <v>0</v>
      </c>
      <c r="L36" s="838"/>
      <c r="M36" s="839"/>
      <c r="N36" s="53">
        <f t="shared" si="21"/>
        <v>366</v>
      </c>
      <c r="O36" s="53">
        <f t="shared" si="21"/>
        <v>14</v>
      </c>
      <c r="P36" s="53">
        <f t="shared" si="21"/>
        <v>457</v>
      </c>
      <c r="Q36" s="53">
        <f t="shared" si="21"/>
        <v>16</v>
      </c>
      <c r="R36" s="53">
        <f t="shared" si="21"/>
        <v>416</v>
      </c>
      <c r="S36" s="53">
        <f t="shared" si="21"/>
        <v>15</v>
      </c>
      <c r="T36" s="53">
        <f t="shared" si="21"/>
        <v>418</v>
      </c>
      <c r="U36" s="53">
        <f t="shared" si="21"/>
        <v>16</v>
      </c>
      <c r="V36" s="53">
        <f t="shared" si="21"/>
        <v>415</v>
      </c>
      <c r="W36" s="53">
        <f t="shared" si="21"/>
        <v>16</v>
      </c>
      <c r="X36" s="54">
        <f t="shared" si="21"/>
        <v>0</v>
      </c>
      <c r="Y36" s="54">
        <f t="shared" si="21"/>
        <v>0</v>
      </c>
      <c r="Z36" s="55">
        <f t="shared" si="21"/>
        <v>2072</v>
      </c>
      <c r="AA36" s="56">
        <f t="shared" si="21"/>
        <v>77</v>
      </c>
      <c r="AB36" s="54">
        <f t="shared" si="21"/>
        <v>434</v>
      </c>
      <c r="AC36" s="54">
        <v>22</v>
      </c>
      <c r="AD36" s="54">
        <f t="shared" ref="AD36:AK36" si="22">SUM(AD32,AD33,AD34:AD35)</f>
        <v>444</v>
      </c>
      <c r="AE36" s="54">
        <v>23</v>
      </c>
      <c r="AF36" s="54">
        <f t="shared" si="22"/>
        <v>377</v>
      </c>
      <c r="AG36" s="54">
        <v>20</v>
      </c>
      <c r="AH36" s="55">
        <f t="shared" si="22"/>
        <v>1255</v>
      </c>
      <c r="AI36" s="104">
        <f>SUM(AI32,AI33,AI34:AI35)</f>
        <v>65</v>
      </c>
      <c r="AJ36" s="55">
        <f t="shared" si="22"/>
        <v>3327</v>
      </c>
      <c r="AK36" s="56">
        <f t="shared" si="22"/>
        <v>142</v>
      </c>
    </row>
    <row r="37" spans="1:38" ht="15.75" x14ac:dyDescent="0.25">
      <c r="A37" s="27" t="s">
        <v>295</v>
      </c>
      <c r="B37" s="111"/>
      <c r="C37" s="112"/>
      <c r="D37" s="96"/>
      <c r="E37" s="34"/>
      <c r="F37" s="34"/>
      <c r="G37" s="34"/>
      <c r="H37" s="34"/>
      <c r="I37" s="34"/>
      <c r="J37" s="34"/>
      <c r="K37" s="34"/>
      <c r="L37" s="35">
        <f>SUM(D37,F37,H37,J37)</f>
        <v>0</v>
      </c>
      <c r="M37" s="36">
        <f>SUM(E37,G37,I37,K37)</f>
        <v>0</v>
      </c>
      <c r="N37" s="117">
        <f>26+2+25+1+2+25+2+23+3+24+2+1+1</f>
        <v>137</v>
      </c>
      <c r="O37" s="117">
        <v>5</v>
      </c>
      <c r="P37" s="117">
        <f>22+1+3+29+29+28+2+29+3</f>
        <v>146</v>
      </c>
      <c r="Q37" s="117">
        <v>5</v>
      </c>
      <c r="R37" s="117">
        <f>24+1+3+1+29+29+25+1+27</f>
        <v>140</v>
      </c>
      <c r="S37" s="117">
        <v>5</v>
      </c>
      <c r="T37" s="117">
        <f>24+1+3+30+30+28+1+26+1+2</f>
        <v>146</v>
      </c>
      <c r="U37" s="117">
        <v>5</v>
      </c>
      <c r="V37" s="117">
        <f>27+2+30+30+30+26+3+1</f>
        <v>149</v>
      </c>
      <c r="W37" s="117">
        <v>5</v>
      </c>
      <c r="X37" s="117">
        <f>25+2+26+25+1+24+1</f>
        <v>104</v>
      </c>
      <c r="Y37" s="117">
        <v>4</v>
      </c>
      <c r="Z37" s="32">
        <f t="shared" ref="Z37:AA39" si="23">SUM(N37,P37,R37,T37,V37,X37)</f>
        <v>822</v>
      </c>
      <c r="AA37" s="33">
        <f t="shared" si="23"/>
        <v>29</v>
      </c>
      <c r="AB37" s="117">
        <v>81</v>
      </c>
      <c r="AC37" s="109">
        <v>4</v>
      </c>
      <c r="AD37" s="117">
        <v>38</v>
      </c>
      <c r="AE37" s="109">
        <v>2</v>
      </c>
      <c r="AF37" s="117">
        <v>61</v>
      </c>
      <c r="AG37" s="109">
        <v>3</v>
      </c>
      <c r="AH37" s="97">
        <f>SUM(AB37,AD37,AF37)</f>
        <v>180</v>
      </c>
      <c r="AI37" s="110">
        <v>9</v>
      </c>
      <c r="AJ37" s="32">
        <f t="shared" ref="AJ37:AK39" si="24">SUM(L37,Z37,AH37)</f>
        <v>1002</v>
      </c>
      <c r="AK37" s="33">
        <f t="shared" si="24"/>
        <v>38</v>
      </c>
    </row>
    <row r="38" spans="1:38" ht="15.75" x14ac:dyDescent="0.25">
      <c r="A38" s="27" t="s">
        <v>284</v>
      </c>
      <c r="B38" s="111"/>
      <c r="C38" s="112"/>
      <c r="D38" s="96"/>
      <c r="E38" s="34"/>
      <c r="F38" s="34"/>
      <c r="G38" s="34"/>
      <c r="H38" s="34"/>
      <c r="I38" s="34"/>
      <c r="J38" s="34"/>
      <c r="K38" s="34"/>
      <c r="L38" s="35">
        <f>SUM(D38,F38,H38,J38)</f>
        <v>0</v>
      </c>
      <c r="M38" s="36">
        <f>SUM(E38,G38,I38,K38)</f>
        <v>0</v>
      </c>
      <c r="N38" s="31">
        <f>16+1+7+1+27+1+27+27+1+28+1</f>
        <v>137</v>
      </c>
      <c r="O38" s="31">
        <v>5</v>
      </c>
      <c r="P38" s="31">
        <f>15+2+6+1+1+30+30+29</f>
        <v>114</v>
      </c>
      <c r="Q38" s="31">
        <v>4</v>
      </c>
      <c r="R38" s="31">
        <f>18+4+2+28+28+28+1</f>
        <v>109</v>
      </c>
      <c r="S38" s="31">
        <v>4</v>
      </c>
      <c r="T38" s="31">
        <f>16+1+6+27+1+1+1+30+29+1+1+31</f>
        <v>145</v>
      </c>
      <c r="U38" s="31">
        <v>5</v>
      </c>
      <c r="V38" s="31">
        <f>21+1+2+1+1+3+23+4+2+29+31+31</f>
        <v>149</v>
      </c>
      <c r="W38" s="31">
        <v>5</v>
      </c>
      <c r="X38" s="31">
        <f>16+1+1+3+3+21+26+29+28</f>
        <v>128</v>
      </c>
      <c r="Y38" s="31">
        <v>5</v>
      </c>
      <c r="Z38" s="32">
        <f t="shared" si="23"/>
        <v>782</v>
      </c>
      <c r="AA38" s="33">
        <f t="shared" si="23"/>
        <v>28</v>
      </c>
      <c r="AB38" s="31">
        <v>57</v>
      </c>
      <c r="AC38" s="109">
        <v>3</v>
      </c>
      <c r="AD38" s="31">
        <f>60+1</f>
        <v>61</v>
      </c>
      <c r="AE38" s="109">
        <v>3</v>
      </c>
      <c r="AF38" s="31">
        <v>50</v>
      </c>
      <c r="AG38" s="109">
        <v>3</v>
      </c>
      <c r="AH38" s="32">
        <f>SUM(AB38,AD38,AF38)</f>
        <v>168</v>
      </c>
      <c r="AI38" s="110">
        <v>9</v>
      </c>
      <c r="AJ38" s="32">
        <f>SUM(L38,Z38,AH38)</f>
        <v>950</v>
      </c>
      <c r="AK38" s="33">
        <f t="shared" si="24"/>
        <v>37</v>
      </c>
    </row>
    <row r="39" spans="1:38" ht="16.5" thickBot="1" x14ac:dyDescent="0.3">
      <c r="A39" s="27" t="s">
        <v>296</v>
      </c>
      <c r="B39" s="111"/>
      <c r="C39" s="112"/>
      <c r="D39" s="96"/>
      <c r="E39" s="34"/>
      <c r="F39" s="34"/>
      <c r="G39" s="34"/>
      <c r="H39" s="34"/>
      <c r="I39" s="34"/>
      <c r="J39" s="34"/>
      <c r="K39" s="34"/>
      <c r="L39" s="35">
        <f>SUM(D39,F39,H39,J39)</f>
        <v>0</v>
      </c>
      <c r="M39" s="36">
        <v>0</v>
      </c>
      <c r="N39" s="31">
        <f>30+29+28+30</f>
        <v>117</v>
      </c>
      <c r="O39" s="31">
        <v>4</v>
      </c>
      <c r="P39" s="31">
        <f>25+4+31+29+1+30</f>
        <v>120</v>
      </c>
      <c r="Q39" s="31">
        <v>4</v>
      </c>
      <c r="R39" s="31">
        <f>29+1+28+1+28+29+1</f>
        <v>117</v>
      </c>
      <c r="S39" s="31">
        <v>4</v>
      </c>
      <c r="T39" s="31">
        <f>30+27+2+28+2+27+3</f>
        <v>119</v>
      </c>
      <c r="U39" s="31">
        <v>4</v>
      </c>
      <c r="V39" s="31">
        <f>29+30+28+1+28+1</f>
        <v>117</v>
      </c>
      <c r="W39" s="31">
        <v>4</v>
      </c>
      <c r="X39" s="31">
        <f>29+31+29+31</f>
        <v>120</v>
      </c>
      <c r="Y39" s="31">
        <v>4</v>
      </c>
      <c r="Z39" s="32">
        <f t="shared" si="23"/>
        <v>710</v>
      </c>
      <c r="AA39" s="33">
        <f t="shared" si="23"/>
        <v>24</v>
      </c>
      <c r="AB39" s="31">
        <v>90</v>
      </c>
      <c r="AC39" s="109">
        <v>5</v>
      </c>
      <c r="AD39" s="31">
        <v>89</v>
      </c>
      <c r="AE39" s="109">
        <v>5</v>
      </c>
      <c r="AF39" s="31">
        <v>77</v>
      </c>
      <c r="AG39" s="109">
        <v>4</v>
      </c>
      <c r="AH39" s="113">
        <f>SUM(AB39,AD39,AF39)</f>
        <v>256</v>
      </c>
      <c r="AI39" s="110">
        <v>14</v>
      </c>
      <c r="AJ39" s="32">
        <f t="shared" si="24"/>
        <v>966</v>
      </c>
      <c r="AK39" s="33">
        <f t="shared" si="24"/>
        <v>38</v>
      </c>
    </row>
    <row r="40" spans="1:38" s="861" customFormat="1" ht="16.5" thickBot="1" x14ac:dyDescent="0.3">
      <c r="A40" s="50" t="s">
        <v>46</v>
      </c>
      <c r="B40" s="115"/>
      <c r="C40" s="116"/>
      <c r="D40" s="835"/>
      <c r="E40" s="836">
        <f t="shared" ref="E40:AB40" si="25">SUM(E37:E39)</f>
        <v>0</v>
      </c>
      <c r="F40" s="836">
        <f t="shared" si="25"/>
        <v>0</v>
      </c>
      <c r="G40" s="836">
        <f t="shared" si="25"/>
        <v>0</v>
      </c>
      <c r="H40" s="836">
        <f t="shared" si="25"/>
        <v>0</v>
      </c>
      <c r="I40" s="836">
        <f t="shared" si="25"/>
        <v>0</v>
      </c>
      <c r="J40" s="836">
        <f t="shared" si="25"/>
        <v>0</v>
      </c>
      <c r="K40" s="836">
        <f t="shared" si="25"/>
        <v>0</v>
      </c>
      <c r="L40" s="838">
        <f t="shared" si="25"/>
        <v>0</v>
      </c>
      <c r="M40" s="839">
        <f t="shared" si="25"/>
        <v>0</v>
      </c>
      <c r="N40" s="54">
        <f t="shared" si="25"/>
        <v>391</v>
      </c>
      <c r="O40" s="54">
        <f t="shared" si="25"/>
        <v>14</v>
      </c>
      <c r="P40" s="54">
        <f t="shared" si="25"/>
        <v>380</v>
      </c>
      <c r="Q40" s="54">
        <f t="shared" si="25"/>
        <v>13</v>
      </c>
      <c r="R40" s="54">
        <f t="shared" si="25"/>
        <v>366</v>
      </c>
      <c r="S40" s="54">
        <f t="shared" si="25"/>
        <v>13</v>
      </c>
      <c r="T40" s="54">
        <f t="shared" si="25"/>
        <v>410</v>
      </c>
      <c r="U40" s="54">
        <f t="shared" si="25"/>
        <v>14</v>
      </c>
      <c r="V40" s="54">
        <f t="shared" si="25"/>
        <v>415</v>
      </c>
      <c r="W40" s="54">
        <f t="shared" si="25"/>
        <v>14</v>
      </c>
      <c r="X40" s="54">
        <f t="shared" si="25"/>
        <v>352</v>
      </c>
      <c r="Y40" s="54">
        <f t="shared" si="25"/>
        <v>13</v>
      </c>
      <c r="Z40" s="55">
        <f t="shared" si="25"/>
        <v>2314</v>
      </c>
      <c r="AA40" s="56">
        <f t="shared" si="25"/>
        <v>81</v>
      </c>
      <c r="AB40" s="54">
        <f t="shared" si="25"/>
        <v>228</v>
      </c>
      <c r="AC40" s="54">
        <v>12</v>
      </c>
      <c r="AD40" s="54">
        <f t="shared" ref="AD40:AK40" si="26">SUM(AD37:AD39)</f>
        <v>188</v>
      </c>
      <c r="AE40" s="54">
        <v>10</v>
      </c>
      <c r="AF40" s="54">
        <f t="shared" si="26"/>
        <v>188</v>
      </c>
      <c r="AG40" s="54">
        <v>10</v>
      </c>
      <c r="AH40" s="55">
        <f t="shared" si="26"/>
        <v>604</v>
      </c>
      <c r="AI40" s="104">
        <f t="shared" si="26"/>
        <v>32</v>
      </c>
      <c r="AJ40" s="55">
        <f t="shared" si="26"/>
        <v>2918</v>
      </c>
      <c r="AK40" s="56">
        <f t="shared" si="26"/>
        <v>113</v>
      </c>
    </row>
    <row r="41" spans="1:38" s="861" customFormat="1" ht="20.100000000000001" customHeight="1" thickBot="1" x14ac:dyDescent="0.3">
      <c r="A41" s="81" t="s">
        <v>47</v>
      </c>
      <c r="B41" s="82"/>
      <c r="C41" s="118"/>
      <c r="D41" s="89">
        <f t="shared" ref="D41:AA41" si="27">SUM(D28,D31,D36,D40)</f>
        <v>0</v>
      </c>
      <c r="E41" s="90">
        <f t="shared" si="27"/>
        <v>0</v>
      </c>
      <c r="F41" s="90">
        <f t="shared" si="27"/>
        <v>0</v>
      </c>
      <c r="G41" s="90">
        <f t="shared" si="27"/>
        <v>0</v>
      </c>
      <c r="H41" s="90">
        <f t="shared" si="27"/>
        <v>0</v>
      </c>
      <c r="I41" s="90">
        <f t="shared" si="27"/>
        <v>0</v>
      </c>
      <c r="J41" s="90">
        <f t="shared" si="27"/>
        <v>0</v>
      </c>
      <c r="K41" s="90">
        <f t="shared" si="27"/>
        <v>0</v>
      </c>
      <c r="L41" s="868">
        <f t="shared" si="27"/>
        <v>0</v>
      </c>
      <c r="M41" s="869">
        <f t="shared" si="27"/>
        <v>0</v>
      </c>
      <c r="N41" s="85">
        <f t="shared" si="27"/>
        <v>909</v>
      </c>
      <c r="O41" s="85">
        <f t="shared" si="27"/>
        <v>35</v>
      </c>
      <c r="P41" s="85">
        <f t="shared" si="27"/>
        <v>990</v>
      </c>
      <c r="Q41" s="85">
        <f t="shared" si="27"/>
        <v>35</v>
      </c>
      <c r="R41" s="85">
        <f t="shared" si="27"/>
        <v>918</v>
      </c>
      <c r="S41" s="85">
        <f t="shared" si="27"/>
        <v>34</v>
      </c>
      <c r="T41" s="85">
        <f t="shared" si="27"/>
        <v>980</v>
      </c>
      <c r="U41" s="85">
        <f t="shared" si="27"/>
        <v>36</v>
      </c>
      <c r="V41" s="85">
        <f t="shared" si="27"/>
        <v>995</v>
      </c>
      <c r="W41" s="85">
        <f t="shared" si="27"/>
        <v>36</v>
      </c>
      <c r="X41" s="85">
        <f t="shared" si="27"/>
        <v>505</v>
      </c>
      <c r="Y41" s="85">
        <f t="shared" si="27"/>
        <v>19</v>
      </c>
      <c r="Z41" s="87">
        <f t="shared" si="27"/>
        <v>5297</v>
      </c>
      <c r="AA41" s="88">
        <f t="shared" si="27"/>
        <v>195</v>
      </c>
      <c r="AB41" s="85">
        <f t="shared" ref="AB41:AI41" si="28">SUM(AB40,AB36)</f>
        <v>662</v>
      </c>
      <c r="AC41" s="85">
        <f t="shared" si="28"/>
        <v>34</v>
      </c>
      <c r="AD41" s="85">
        <f t="shared" si="28"/>
        <v>632</v>
      </c>
      <c r="AE41" s="85">
        <f t="shared" si="28"/>
        <v>33</v>
      </c>
      <c r="AF41" s="85">
        <f t="shared" si="28"/>
        <v>565</v>
      </c>
      <c r="AG41" s="85">
        <f t="shared" si="28"/>
        <v>30</v>
      </c>
      <c r="AH41" s="85">
        <f t="shared" si="28"/>
        <v>1859</v>
      </c>
      <c r="AI41" s="85">
        <f t="shared" si="28"/>
        <v>97</v>
      </c>
      <c r="AJ41" s="87">
        <f>SUM(AJ28,AJ31,AJ36,AJ40)</f>
        <v>7156</v>
      </c>
      <c r="AK41" s="88">
        <f>AK28+AK31+AK36+AK40</f>
        <v>292</v>
      </c>
    </row>
    <row r="42" spans="1:38" s="861" customFormat="1" ht="15.75" hidden="1" x14ac:dyDescent="0.25">
      <c r="A42" s="870" t="s">
        <v>311</v>
      </c>
      <c r="B42" s="636"/>
      <c r="C42" s="871"/>
      <c r="D42" s="872"/>
      <c r="E42" s="873"/>
      <c r="F42" s="873"/>
      <c r="G42" s="873"/>
      <c r="H42" s="873"/>
      <c r="I42" s="873"/>
      <c r="J42" s="873"/>
      <c r="K42" s="874"/>
      <c r="L42" s="875"/>
      <c r="M42" s="876"/>
      <c r="N42" s="872"/>
      <c r="O42" s="872"/>
      <c r="P42" s="872"/>
      <c r="Q42" s="872"/>
      <c r="R42" s="872"/>
      <c r="S42" s="872"/>
      <c r="T42" s="872"/>
      <c r="U42" s="872"/>
      <c r="V42" s="872"/>
      <c r="W42" s="872"/>
      <c r="X42" s="872"/>
      <c r="Y42" s="872"/>
      <c r="Z42" s="875"/>
      <c r="AA42" s="876"/>
      <c r="AB42" s="877"/>
      <c r="AC42" s="878"/>
      <c r="AD42" s="878"/>
      <c r="AE42" s="878"/>
      <c r="AF42" s="878"/>
      <c r="AG42" s="878"/>
      <c r="AH42" s="879"/>
      <c r="AI42" s="880"/>
      <c r="AJ42" s="875"/>
      <c r="AK42" s="876"/>
    </row>
    <row r="43" spans="1:38" s="861" customFormat="1" ht="16.5" hidden="1" thickBot="1" x14ac:dyDescent="0.3">
      <c r="A43" s="881" t="s">
        <v>176</v>
      </c>
      <c r="B43" s="882"/>
      <c r="C43" s="883"/>
      <c r="D43" s="884"/>
      <c r="E43" s="885"/>
      <c r="F43" s="885"/>
      <c r="G43" s="885"/>
      <c r="H43" s="885"/>
      <c r="I43" s="885"/>
      <c r="J43" s="885"/>
      <c r="K43" s="886"/>
      <c r="L43" s="887"/>
      <c r="M43" s="888"/>
      <c r="N43" s="884"/>
      <c r="O43" s="885"/>
      <c r="P43" s="885"/>
      <c r="Q43" s="885"/>
      <c r="R43" s="885"/>
      <c r="S43" s="885"/>
      <c r="T43" s="885"/>
      <c r="U43" s="885"/>
      <c r="V43" s="885"/>
      <c r="W43" s="885"/>
      <c r="X43" s="885"/>
      <c r="Y43" s="886"/>
      <c r="Z43" s="887"/>
      <c r="AA43" s="888"/>
      <c r="AB43" s="889"/>
      <c r="AC43" s="890"/>
      <c r="AD43" s="890"/>
      <c r="AE43" s="890"/>
      <c r="AF43" s="890"/>
      <c r="AG43" s="890"/>
      <c r="AH43" s="891"/>
      <c r="AI43" s="892"/>
      <c r="AJ43" s="887"/>
      <c r="AK43" s="888"/>
    </row>
    <row r="44" spans="1:38" s="861" customFormat="1" ht="16.5" hidden="1" thickBot="1" x14ac:dyDescent="0.3">
      <c r="A44" s="893" t="s">
        <v>178</v>
      </c>
      <c r="B44" s="894">
        <f>SUM(B42:B43)</f>
        <v>0</v>
      </c>
      <c r="C44" s="895">
        <f>SUM(C42:C43)</f>
        <v>0</v>
      </c>
      <c r="D44" s="896"/>
      <c r="E44" s="897"/>
      <c r="F44" s="897"/>
      <c r="G44" s="897"/>
      <c r="H44" s="897"/>
      <c r="I44" s="897"/>
      <c r="J44" s="897"/>
      <c r="K44" s="897"/>
      <c r="L44" s="894"/>
      <c r="M44" s="895"/>
      <c r="N44" s="897"/>
      <c r="O44" s="897"/>
      <c r="P44" s="897"/>
      <c r="Q44" s="897"/>
      <c r="R44" s="897"/>
      <c r="S44" s="897"/>
      <c r="T44" s="897"/>
      <c r="U44" s="897"/>
      <c r="V44" s="897"/>
      <c r="W44" s="897"/>
      <c r="X44" s="897"/>
      <c r="Y44" s="897"/>
      <c r="Z44" s="894"/>
      <c r="AA44" s="895"/>
      <c r="AB44" s="897"/>
      <c r="AC44" s="897"/>
      <c r="AD44" s="897"/>
      <c r="AE44" s="897"/>
      <c r="AF44" s="897"/>
      <c r="AG44" s="897"/>
      <c r="AH44" s="898"/>
      <c r="AI44" s="899"/>
      <c r="AJ44" s="894"/>
      <c r="AK44" s="895"/>
    </row>
    <row r="45" spans="1:38" s="861" customFormat="1" ht="15.75" thickBot="1" x14ac:dyDescent="0.3">
      <c r="A45" s="119" t="s">
        <v>48</v>
      </c>
      <c r="B45" s="900">
        <f>SUM(B26,B41,B44)</f>
        <v>0</v>
      </c>
      <c r="C45" s="901">
        <f>SUM(C26,C41,C44)</f>
        <v>0</v>
      </c>
      <c r="D45" s="902">
        <f t="shared" ref="D45:K45" si="29">SUM(D26,D41,D44)</f>
        <v>840</v>
      </c>
      <c r="E45" s="903">
        <f t="shared" si="29"/>
        <v>37</v>
      </c>
      <c r="F45" s="903">
        <f t="shared" si="29"/>
        <v>932</v>
      </c>
      <c r="G45" s="903">
        <f t="shared" si="29"/>
        <v>35</v>
      </c>
      <c r="H45" s="903">
        <f t="shared" si="29"/>
        <v>882</v>
      </c>
      <c r="I45" s="903">
        <f t="shared" si="29"/>
        <v>37</v>
      </c>
      <c r="J45" s="903">
        <f t="shared" si="29"/>
        <v>882</v>
      </c>
      <c r="K45" s="903">
        <f t="shared" si="29"/>
        <v>38</v>
      </c>
      <c r="L45" s="900">
        <f>SUM(L26,L41,L44)</f>
        <v>3536</v>
      </c>
      <c r="M45" s="901">
        <f>SUM(M26,M41,M44)</f>
        <v>147</v>
      </c>
      <c r="N45" s="903">
        <f>SUM(N41,N44)</f>
        <v>909</v>
      </c>
      <c r="O45" s="903">
        <f t="shared" ref="O45:AI45" si="30">SUM(O25,O41,O44)</f>
        <v>35</v>
      </c>
      <c r="P45" s="903">
        <f t="shared" si="30"/>
        <v>990</v>
      </c>
      <c r="Q45" s="903">
        <f t="shared" si="30"/>
        <v>35</v>
      </c>
      <c r="R45" s="903">
        <f t="shared" si="30"/>
        <v>918</v>
      </c>
      <c r="S45" s="903">
        <f t="shared" si="30"/>
        <v>34</v>
      </c>
      <c r="T45" s="903">
        <f t="shared" si="30"/>
        <v>980</v>
      </c>
      <c r="U45" s="903">
        <f t="shared" si="30"/>
        <v>36</v>
      </c>
      <c r="V45" s="903">
        <f t="shared" si="30"/>
        <v>995</v>
      </c>
      <c r="W45" s="903">
        <f t="shared" si="30"/>
        <v>36</v>
      </c>
      <c r="X45" s="903">
        <f t="shared" si="30"/>
        <v>505</v>
      </c>
      <c r="Y45" s="903">
        <f t="shared" si="30"/>
        <v>19</v>
      </c>
      <c r="Z45" s="900">
        <f t="shared" si="30"/>
        <v>5297</v>
      </c>
      <c r="AA45" s="901">
        <f t="shared" si="30"/>
        <v>195</v>
      </c>
      <c r="AB45" s="903">
        <f>SUM(AB26,AB41,AB44)</f>
        <v>662</v>
      </c>
      <c r="AC45" s="903">
        <f t="shared" si="30"/>
        <v>34</v>
      </c>
      <c r="AD45" s="903">
        <f t="shared" si="30"/>
        <v>632</v>
      </c>
      <c r="AE45" s="903">
        <f t="shared" si="30"/>
        <v>33</v>
      </c>
      <c r="AF45" s="903">
        <f t="shared" si="30"/>
        <v>565</v>
      </c>
      <c r="AG45" s="903">
        <f t="shared" si="30"/>
        <v>30</v>
      </c>
      <c r="AH45" s="900">
        <f t="shared" si="30"/>
        <v>1859</v>
      </c>
      <c r="AI45" s="904">
        <f t="shared" si="30"/>
        <v>97</v>
      </c>
      <c r="AJ45" s="900">
        <f>SUM(AJ26,AJ41,AJ44)</f>
        <v>10692</v>
      </c>
      <c r="AK45" s="901">
        <f>SUM(AK26,AK41,AK44)</f>
        <v>439</v>
      </c>
    </row>
    <row r="46" spans="1:38" s="856" customFormat="1" ht="15.75" x14ac:dyDescent="0.25">
      <c r="A46" s="858"/>
      <c r="B46" s="858"/>
      <c r="C46" s="858"/>
      <c r="D46" s="858"/>
      <c r="E46" s="858"/>
      <c r="F46" s="858"/>
      <c r="G46" s="858"/>
      <c r="H46" s="858"/>
      <c r="I46" s="858"/>
      <c r="J46" s="858"/>
      <c r="K46" s="858"/>
      <c r="L46" s="858"/>
      <c r="M46" s="858"/>
      <c r="N46" s="858"/>
      <c r="O46" s="858"/>
      <c r="P46" s="858"/>
      <c r="Q46" s="858"/>
      <c r="R46" s="858"/>
      <c r="S46" s="858"/>
      <c r="T46" s="858"/>
      <c r="U46" s="858"/>
      <c r="V46" s="858"/>
      <c r="W46" s="858"/>
      <c r="X46" s="858"/>
      <c r="Y46" s="858"/>
      <c r="Z46" s="858"/>
      <c r="AA46" s="858"/>
      <c r="AB46" s="858"/>
      <c r="AC46" s="858"/>
      <c r="AD46" s="858"/>
      <c r="AE46" s="858"/>
      <c r="AF46" s="858"/>
      <c r="AG46" s="858"/>
      <c r="AH46" s="858"/>
      <c r="AI46" s="858"/>
      <c r="AJ46" s="858"/>
      <c r="AK46" s="858"/>
    </row>
    <row r="47" spans="1:38" x14ac:dyDescent="0.25">
      <c r="B47" s="857"/>
      <c r="C47" s="857"/>
      <c r="D47" s="905"/>
      <c r="E47" s="120"/>
      <c r="F47" s="906"/>
      <c r="G47" s="121"/>
      <c r="H47" s="860"/>
      <c r="I47" s="859"/>
      <c r="J47" s="859"/>
      <c r="K47" s="859"/>
      <c r="L47" s="120"/>
      <c r="M47" s="906"/>
      <c r="N47" s="122"/>
      <c r="O47" s="906"/>
      <c r="P47" s="122"/>
      <c r="Q47" s="859"/>
      <c r="R47" s="120"/>
      <c r="S47" s="906"/>
      <c r="T47" s="122"/>
      <c r="U47" s="859"/>
      <c r="V47" s="859"/>
      <c r="W47" s="859"/>
      <c r="X47" s="907"/>
      <c r="AD47" s="3"/>
      <c r="AE47" s="3"/>
      <c r="AF47" s="123"/>
      <c r="AG47" s="908"/>
      <c r="AK47" s="3"/>
    </row>
    <row r="48" spans="1:38" x14ac:dyDescent="0.25">
      <c r="A48" s="909"/>
      <c r="B48" s="909"/>
      <c r="C48" s="909"/>
      <c r="D48" s="859"/>
      <c r="E48" s="859"/>
      <c r="F48" s="906"/>
      <c r="G48" s="910"/>
      <c r="H48" s="910"/>
      <c r="I48" s="910"/>
      <c r="J48" s="859"/>
      <c r="K48" s="859"/>
      <c r="L48" s="859"/>
      <c r="M48" s="859"/>
      <c r="N48" s="906"/>
      <c r="O48" s="859"/>
      <c r="P48" s="859"/>
      <c r="Q48" s="859"/>
      <c r="R48" s="859"/>
      <c r="S48" s="859"/>
      <c r="T48" s="906"/>
      <c r="U48" s="859"/>
      <c r="V48" s="859"/>
      <c r="W48" s="859"/>
      <c r="Y48" s="909"/>
      <c r="Z48" s="909"/>
      <c r="AK48" s="3"/>
      <c r="AL48" s="3"/>
    </row>
    <row r="49" spans="1:38" x14ac:dyDescent="0.25">
      <c r="A49" s="909"/>
      <c r="B49" s="909"/>
      <c r="C49" s="909"/>
      <c r="D49" s="859"/>
      <c r="E49" s="859"/>
      <c r="F49" s="906"/>
      <c r="G49" s="910"/>
      <c r="H49" s="910"/>
      <c r="I49" s="910"/>
      <c r="J49" s="859"/>
      <c r="K49" s="859"/>
      <c r="L49" s="859"/>
      <c r="M49" s="859"/>
      <c r="N49" s="859"/>
      <c r="O49" s="859"/>
      <c r="P49" s="859"/>
      <c r="Q49" s="859"/>
      <c r="R49" s="859"/>
      <c r="S49" s="859"/>
      <c r="T49" s="859"/>
      <c r="U49" s="859"/>
      <c r="V49" s="859"/>
      <c r="W49" s="859"/>
      <c r="X49" s="3"/>
      <c r="AB49" s="3"/>
      <c r="AC49" s="3"/>
      <c r="AD49" s="3"/>
      <c r="AL49" s="3"/>
    </row>
    <row r="50" spans="1:38" x14ac:dyDescent="0.25">
      <c r="A50" s="909"/>
      <c r="B50" s="909"/>
      <c r="C50" s="909"/>
      <c r="D50" s="911"/>
      <c r="E50" s="912"/>
      <c r="F50" s="912"/>
      <c r="G50" s="910"/>
      <c r="H50" s="910"/>
      <c r="I50" s="910"/>
      <c r="J50" s="859"/>
      <c r="K50" s="859"/>
      <c r="L50" s="911"/>
      <c r="M50" s="912"/>
      <c r="N50" s="912"/>
      <c r="O50" s="859"/>
      <c r="P50" s="859"/>
      <c r="Q50" s="859"/>
      <c r="R50" s="911"/>
      <c r="S50" s="912"/>
      <c r="T50" s="912"/>
      <c r="U50" s="859"/>
      <c r="V50" s="859"/>
      <c r="W50" s="859"/>
      <c r="AA50" s="3"/>
      <c r="AC50" s="3"/>
      <c r="AD50" s="3"/>
    </row>
    <row r="51" spans="1:38" x14ac:dyDescent="0.25">
      <c r="A51" s="3"/>
      <c r="B51" s="3"/>
      <c r="C51" s="3"/>
      <c r="D51" s="860"/>
      <c r="E51" s="913"/>
      <c r="F51" s="913"/>
      <c r="G51" s="859"/>
      <c r="H51" s="859"/>
      <c r="I51" s="859"/>
      <c r="J51" s="859"/>
      <c r="K51" s="859"/>
      <c r="L51" s="860"/>
      <c r="M51" s="859"/>
      <c r="N51" s="859"/>
      <c r="O51" s="859"/>
      <c r="P51" s="859"/>
      <c r="Q51" s="859"/>
      <c r="R51" s="860"/>
      <c r="S51" s="859"/>
      <c r="T51" s="859"/>
      <c r="U51" s="859"/>
      <c r="W51" s="859"/>
      <c r="AC51" s="3"/>
      <c r="AD51" s="3"/>
      <c r="AH51" s="909"/>
    </row>
    <row r="52" spans="1:38" x14ac:dyDescent="0.25">
      <c r="D52" s="860"/>
      <c r="E52" s="913"/>
      <c r="F52" s="913"/>
      <c r="G52" s="859"/>
      <c r="H52" s="859"/>
      <c r="I52" s="859"/>
      <c r="J52" s="859"/>
      <c r="K52" s="859"/>
      <c r="L52" s="860"/>
      <c r="M52" s="859"/>
      <c r="N52" s="859"/>
      <c r="O52" s="859"/>
      <c r="P52" s="859"/>
      <c r="Q52" s="859"/>
      <c r="R52" s="860"/>
      <c r="S52" s="859"/>
      <c r="T52" s="859"/>
      <c r="U52" s="121"/>
      <c r="V52" s="859"/>
      <c r="W52" s="859"/>
      <c r="X52" s="3"/>
      <c r="Y52" s="3"/>
      <c r="AA52" s="3"/>
      <c r="AB52" s="3"/>
      <c r="AC52" s="3"/>
      <c r="AD52" s="914"/>
    </row>
    <row r="53" spans="1:38" x14ac:dyDescent="0.25">
      <c r="D53" s="860"/>
      <c r="E53" s="913"/>
      <c r="F53" s="913"/>
      <c r="G53" s="859"/>
      <c r="H53" s="859"/>
      <c r="I53" s="859"/>
      <c r="J53" s="859"/>
      <c r="K53" s="859"/>
      <c r="L53" s="860"/>
      <c r="M53" s="859"/>
      <c r="N53" s="859"/>
      <c r="O53" s="859"/>
      <c r="P53" s="859"/>
      <c r="Q53" s="859"/>
      <c r="R53" s="860"/>
      <c r="S53" s="859"/>
      <c r="T53" s="859"/>
      <c r="U53" s="860"/>
      <c r="V53" s="121"/>
      <c r="W53" s="859"/>
      <c r="X53" s="3"/>
      <c r="Y53" s="3"/>
      <c r="AA53" s="3"/>
      <c r="AB53" s="3"/>
      <c r="AC53" s="3"/>
    </row>
    <row r="54" spans="1:38" x14ac:dyDescent="0.25">
      <c r="D54" s="860"/>
      <c r="E54" s="913"/>
      <c r="F54" s="913"/>
      <c r="G54" s="859"/>
      <c r="H54" s="859"/>
      <c r="I54" s="859"/>
      <c r="J54" s="859"/>
      <c r="K54" s="859"/>
      <c r="L54" s="860"/>
      <c r="M54" s="859"/>
      <c r="N54" s="859"/>
      <c r="O54" s="859"/>
      <c r="P54" s="859"/>
      <c r="Q54" s="859"/>
      <c r="R54" s="860"/>
      <c r="S54" s="859"/>
      <c r="T54" s="859"/>
      <c r="U54" s="121"/>
      <c r="V54" s="915"/>
      <c r="W54" s="859"/>
      <c r="X54" s="3"/>
      <c r="Y54" s="3"/>
      <c r="AA54" s="3"/>
      <c r="AB54" s="3"/>
      <c r="AC54" s="3"/>
    </row>
    <row r="55" spans="1:38" x14ac:dyDescent="0.25">
      <c r="D55" s="861"/>
      <c r="E55" s="861"/>
      <c r="F55" s="861"/>
      <c r="G55" s="859"/>
      <c r="H55" s="859"/>
      <c r="I55" s="859"/>
      <c r="J55" s="859"/>
      <c r="K55" s="859"/>
      <c r="L55" s="860"/>
      <c r="M55" s="859"/>
      <c r="N55" s="859"/>
      <c r="O55" s="859"/>
      <c r="P55" s="859"/>
      <c r="Q55" s="859"/>
      <c r="R55" s="860"/>
      <c r="S55" s="859"/>
      <c r="T55" s="859"/>
      <c r="U55" s="859"/>
      <c r="V55" s="859"/>
      <c r="W55" s="859"/>
      <c r="AB55" s="3"/>
    </row>
    <row r="56" spans="1:38" x14ac:dyDescent="0.25">
      <c r="D56" s="859"/>
      <c r="E56" s="859"/>
      <c r="F56" s="859"/>
      <c r="G56" s="859"/>
      <c r="H56" s="859"/>
      <c r="I56" s="859"/>
      <c r="J56" s="859"/>
      <c r="K56" s="859"/>
      <c r="L56" s="860"/>
      <c r="M56" s="859"/>
      <c r="N56" s="859"/>
      <c r="O56" s="859"/>
      <c r="P56" s="859"/>
      <c r="Q56" s="859"/>
      <c r="R56" s="860"/>
      <c r="S56" s="859"/>
      <c r="T56" s="859"/>
      <c r="U56" s="121"/>
      <c r="V56" s="121"/>
      <c r="W56" s="859"/>
      <c r="AB56" s="3"/>
    </row>
    <row r="57" spans="1:38" x14ac:dyDescent="0.25">
      <c r="D57" s="859"/>
      <c r="E57" s="859"/>
      <c r="F57" s="859"/>
      <c r="G57" s="859"/>
      <c r="H57" s="859"/>
      <c r="I57" s="859"/>
      <c r="J57" s="859"/>
      <c r="K57" s="859"/>
      <c r="L57" s="911"/>
      <c r="M57" s="861"/>
      <c r="N57" s="861"/>
      <c r="O57" s="859"/>
      <c r="P57" s="859"/>
      <c r="Q57" s="859"/>
      <c r="R57" s="911"/>
      <c r="S57" s="861"/>
      <c r="T57" s="861"/>
      <c r="U57" s="859"/>
      <c r="V57" s="859"/>
      <c r="W57" s="859"/>
      <c r="AB57" s="3"/>
    </row>
    <row r="64" spans="1:38" x14ac:dyDescent="0.25">
      <c r="F64" s="859"/>
      <c r="G64" s="859"/>
      <c r="H64" s="859"/>
      <c r="I64" s="859"/>
      <c r="J64" s="859"/>
      <c r="K64" s="859"/>
      <c r="L64" s="859"/>
      <c r="M64" s="859"/>
      <c r="N64" s="859"/>
      <c r="O64" s="859"/>
      <c r="P64" s="859"/>
      <c r="Q64" s="859"/>
      <c r="R64" s="859"/>
      <c r="S64" s="859"/>
      <c r="T64" s="859"/>
      <c r="U64" s="859"/>
      <c r="V64" s="859"/>
      <c r="W64" s="3"/>
    </row>
    <row r="65" spans="4:23" x14ac:dyDescent="0.25">
      <c r="F65" s="859"/>
      <c r="G65" s="859"/>
      <c r="H65" s="859"/>
      <c r="I65" s="859"/>
      <c r="J65" s="859"/>
      <c r="K65" s="859"/>
      <c r="L65" s="859"/>
      <c r="M65" s="859"/>
      <c r="N65" s="859"/>
      <c r="O65" s="859"/>
      <c r="P65" s="859"/>
      <c r="Q65" s="859"/>
      <c r="R65" s="859"/>
      <c r="S65" s="859"/>
      <c r="T65" s="859"/>
      <c r="U65" s="859"/>
      <c r="V65" s="859"/>
      <c r="W65" s="3"/>
    </row>
    <row r="66" spans="4:23" x14ac:dyDescent="0.25">
      <c r="D66" s="860"/>
      <c r="E66" s="913"/>
      <c r="F66" s="859"/>
      <c r="G66" s="859"/>
      <c r="H66" s="859"/>
      <c r="I66" s="859"/>
      <c r="J66" s="859"/>
      <c r="K66" s="859"/>
      <c r="L66" s="859"/>
      <c r="M66" s="859"/>
      <c r="N66" s="859"/>
      <c r="O66" s="859"/>
      <c r="P66" s="859"/>
      <c r="Q66" s="859"/>
      <c r="R66" s="859"/>
      <c r="S66" s="859"/>
      <c r="T66" s="859"/>
      <c r="U66" s="859"/>
      <c r="V66" s="859"/>
      <c r="W66" s="908"/>
    </row>
    <row r="67" spans="4:23" x14ac:dyDescent="0.25">
      <c r="F67" s="859"/>
      <c r="G67" s="859"/>
      <c r="H67" s="859"/>
      <c r="I67" s="859"/>
      <c r="J67" s="859"/>
      <c r="K67" s="859"/>
      <c r="L67" s="859"/>
      <c r="M67" s="859"/>
      <c r="N67" s="859"/>
      <c r="O67" s="859"/>
      <c r="P67" s="859"/>
      <c r="Q67" s="859"/>
      <c r="R67" s="859"/>
      <c r="S67" s="859"/>
      <c r="T67" s="859"/>
      <c r="U67" s="859"/>
      <c r="V67" s="859"/>
    </row>
    <row r="68" spans="4:23" x14ac:dyDescent="0.25">
      <c r="F68" s="859"/>
      <c r="G68" s="859"/>
      <c r="H68" s="859"/>
      <c r="I68" s="859"/>
      <c r="J68" s="859"/>
      <c r="K68" s="859"/>
      <c r="L68" s="859"/>
      <c r="M68" s="859"/>
      <c r="N68" s="859"/>
      <c r="O68" s="859"/>
      <c r="P68" s="859"/>
      <c r="Q68" s="859"/>
      <c r="R68" s="859"/>
      <c r="S68" s="859"/>
      <c r="T68" s="859"/>
      <c r="U68" s="859"/>
      <c r="V68" s="859"/>
    </row>
    <row r="69" spans="4:23" x14ac:dyDescent="0.25">
      <c r="F69" s="859"/>
      <c r="G69" s="859"/>
      <c r="H69" s="859"/>
      <c r="I69" s="859"/>
      <c r="J69" s="859"/>
      <c r="K69" s="859"/>
      <c r="L69" s="859"/>
      <c r="M69" s="859"/>
      <c r="N69" s="859"/>
      <c r="O69" s="859"/>
      <c r="P69" s="859"/>
      <c r="Q69" s="859"/>
      <c r="R69" s="859"/>
      <c r="S69" s="859"/>
      <c r="T69" s="859"/>
      <c r="U69" s="859"/>
      <c r="V69" s="859"/>
    </row>
    <row r="70" spans="4:23" x14ac:dyDescent="0.25">
      <c r="F70" s="859"/>
      <c r="G70" s="859"/>
      <c r="H70" s="859"/>
      <c r="I70" s="859"/>
      <c r="J70" s="859"/>
      <c r="K70" s="859"/>
      <c r="L70" s="859"/>
      <c r="M70" s="859"/>
      <c r="N70" s="859"/>
      <c r="O70" s="859"/>
      <c r="P70" s="859"/>
      <c r="Q70" s="859"/>
      <c r="R70" s="859"/>
      <c r="S70" s="859"/>
      <c r="T70" s="859"/>
      <c r="U70" s="859"/>
      <c r="V70" s="859"/>
    </row>
    <row r="71" spans="4:23" x14ac:dyDescent="0.25">
      <c r="F71" s="859"/>
      <c r="G71" s="859"/>
      <c r="H71" s="859"/>
      <c r="I71" s="859"/>
      <c r="J71" s="859"/>
      <c r="K71" s="859"/>
      <c r="L71" s="859"/>
      <c r="M71" s="859"/>
      <c r="N71" s="859"/>
      <c r="O71" s="859"/>
      <c r="P71" s="859"/>
      <c r="Q71" s="859"/>
      <c r="R71" s="859"/>
      <c r="S71" s="859"/>
      <c r="T71" s="859"/>
      <c r="U71" s="859"/>
      <c r="V71" s="859"/>
    </row>
    <row r="72" spans="4:23" x14ac:dyDescent="0.25">
      <c r="F72" s="3"/>
      <c r="I72" s="3"/>
      <c r="J72" s="3"/>
      <c r="K72" s="3"/>
      <c r="L72" s="3"/>
      <c r="M72" s="3"/>
      <c r="P72" s="3"/>
      <c r="Q72" s="3"/>
      <c r="R72" s="3"/>
    </row>
    <row r="73" spans="4:23" x14ac:dyDescent="0.25">
      <c r="I73" s="3"/>
      <c r="J73" s="3"/>
      <c r="K73" s="3"/>
      <c r="L73" s="3"/>
      <c r="M73" s="3"/>
      <c r="P73" s="3"/>
      <c r="Q73" s="3"/>
      <c r="R73" s="3"/>
    </row>
  </sheetData>
  <sheetProtection selectLockedCells="1" selectUnlockedCells="1"/>
  <customSheetViews>
    <customSheetView guid="{0224233B-564D-4BBC-A6B2-E639E6D2CFB3}" scale="75" showPageBreaks="1" fitToPage="1" hiddenRows="1" showRuler="0">
      <selection activeCell="C48" sqref="C48"/>
      <pageMargins left="0.19685039370078741" right="0.19685039370078741" top="0.15748031496062992" bottom="0.19685039370078741" header="0.11811023622047245" footer="0.11811023622047245"/>
      <printOptions horizontalCentered="1" verticalCentered="1"/>
      <pageSetup paperSize="9" scale="60" orientation="landscape" horizontalDpi="300" verticalDpi="300" r:id="rId1"/>
      <headerFooter alignWithMargins="0">
        <oddHeader>&amp;LFachbereich 9&amp;CAnlage 1 a&amp;ROktober   2009</oddHeader>
        <oddFooter>Seite &amp;P&amp;R&amp;Z&amp;F</oddFooter>
      </headerFooter>
    </customSheetView>
  </customSheetViews>
  <mergeCells count="2">
    <mergeCell ref="A1:AK1"/>
    <mergeCell ref="B3:C3"/>
  </mergeCells>
  <phoneticPr fontId="2" type="noConversion"/>
  <hyperlinks>
    <hyperlink ref="AM1" location="Übersicht!A1" display="zurück zur Übersicht!"/>
  </hyperlinks>
  <printOptions horizontalCentered="1" verticalCentered="1"/>
  <pageMargins left="0.39370078740157483" right="0.39370078740157483" top="0.98425196850393704" bottom="0.39370078740157483" header="0.78740157480314965" footer="0"/>
  <pageSetup paperSize="9" scale="60" orientation="landscape" r:id="rId2"/>
  <headerFooter alignWithMargins="0">
    <oddHeader>&amp;L&amp;"PT Sans,Standard"Fachbereich 9&amp;R&amp;"PT Sans,Standard"&amp;A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view="pageLayout" zoomScaleNormal="100" zoomScaleSheetLayoutView="100" workbookViewId="0">
      <selection activeCell="O21" sqref="O21"/>
    </sheetView>
  </sheetViews>
  <sheetFormatPr baseColWidth="10" defaultRowHeight="13.5" x14ac:dyDescent="0.25"/>
  <cols>
    <col min="1" max="1" width="22.42578125" style="3" bestFit="1" customWidth="1"/>
    <col min="2" max="15" width="7.28515625" style="3" customWidth="1"/>
    <col min="16" max="16384" width="11.42578125" style="3"/>
  </cols>
  <sheetData>
    <row r="1" spans="1:17" ht="15.75" x14ac:dyDescent="0.25">
      <c r="A1" s="312" t="s">
        <v>333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>
      <c r="F4" s="121"/>
    </row>
    <row r="5" spans="1:17" ht="98.25" thickBot="1" x14ac:dyDescent="0.3">
      <c r="A5" s="411" t="s">
        <v>194</v>
      </c>
      <c r="B5" s="412" t="s">
        <v>102</v>
      </c>
      <c r="C5" s="412" t="s">
        <v>103</v>
      </c>
      <c r="D5" s="412" t="s">
        <v>104</v>
      </c>
      <c r="E5" s="413" t="s">
        <v>105</v>
      </c>
      <c r="F5" s="414" t="s">
        <v>106</v>
      </c>
      <c r="G5" s="415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3" t="s">
        <v>112</v>
      </c>
      <c r="M5" s="416" t="s">
        <v>113</v>
      </c>
      <c r="N5" s="416" t="s">
        <v>114</v>
      </c>
      <c r="O5" s="429" t="s">
        <v>115</v>
      </c>
    </row>
    <row r="6" spans="1:17" x14ac:dyDescent="0.25">
      <c r="A6" s="431" t="s">
        <v>185</v>
      </c>
      <c r="B6" s="234">
        <f>'Anlage 6.1'!B6+'Anlage 6.2'!B6+'Anlage 6.3'!B6+'Anlage 6.4'!B6</f>
        <v>0</v>
      </c>
      <c r="C6" s="234">
        <f>'Anlage 6.1'!C6+'Anlage 6.2'!C6+'Anlage 6.3'!C6+'Anlage 6.4'!C6</f>
        <v>0</v>
      </c>
      <c r="D6" s="234">
        <f>'Anlage 6.1'!D6+'Anlage 6.2'!D6+'Anlage 6.3'!D6+'Anlage 6.4'!D6</f>
        <v>0</v>
      </c>
      <c r="E6" s="432">
        <f>'Anlage 6.1'!E6+'Anlage 6.2'!E6+'Anlage 6.3'!E6+'Anlage 6.4'!E6</f>
        <v>0</v>
      </c>
      <c r="F6" s="328">
        <f>'Anlage 6.1'!F6+'Anlage 6.2'!F6+'Anlage 6.3'!F6+'Anlage 6.4'!F6</f>
        <v>0</v>
      </c>
      <c r="G6" s="433">
        <f>'Anlage 6.1'!G6+'Anlage 6.2'!G6+'Anlage 6.3'!G6+'Anlage 6.4'!G6</f>
        <v>0</v>
      </c>
      <c r="H6" s="328">
        <f>'Anlage 6.1'!H6+'Anlage 6.2'!H6+'Anlage 6.3'!H6+'Anlage 6.4'!H6</f>
        <v>0</v>
      </c>
      <c r="I6" s="223">
        <f>'Anlage 6.1'!I6+'Anlage 6.2'!I6+'Anlage 6.3'!I6+'Anlage 6.4'!I6</f>
        <v>2</v>
      </c>
      <c r="J6" s="234">
        <f>'Anlage 6.1'!J6+'Anlage 6.2'!J6+'Anlage 6.3'!J6+'Anlage 6.4'!J6</f>
        <v>0</v>
      </c>
      <c r="K6" s="234">
        <f>'Anlage 6.1'!K6+'Anlage 6.2'!K6+'Anlage 6.3'!K6+'Anlage 6.4'!K6</f>
        <v>0</v>
      </c>
      <c r="L6" s="432">
        <f>'Anlage 6.1'!L6+'Anlage 6.2'!L6+'Anlage 6.3'!L6+'Anlage 6.4'!L6</f>
        <v>0</v>
      </c>
      <c r="M6" s="328">
        <f>'Anlage 6.1'!M6+'Anlage 6.2'!M6+'Anlage 6.3'!M6+'Anlage 6.4'!M6</f>
        <v>2</v>
      </c>
      <c r="N6" s="433">
        <f>'Anlage 6.1'!N6+'Anlage 6.2'!N6+'Anlage 6.3'!N6+'Anlage 6.4'!N6</f>
        <v>0</v>
      </c>
      <c r="O6" s="328">
        <f>'Anlage 6.1'!O6+'Anlage 6.2'!O6+'Anlage 6.3'!O6+'Anlage 6.4'!O6</f>
        <v>2</v>
      </c>
    </row>
    <row r="7" spans="1:17" x14ac:dyDescent="0.25">
      <c r="A7" s="334" t="s">
        <v>23</v>
      </c>
      <c r="B7" s="157">
        <f>'Anlage 6.1'!B7+'Anlage 6.2'!B7+'Anlage 6.3'!B7+'Anlage 6.4'!B7</f>
        <v>0</v>
      </c>
      <c r="C7" s="157">
        <f>'Anlage 6.1'!C7+'Anlage 6.2'!C7+'Anlage 6.3'!C7+'Anlage 6.4'!C7</f>
        <v>0</v>
      </c>
      <c r="D7" s="157">
        <f>'Anlage 6.1'!D7+'Anlage 6.2'!D7+'Anlage 6.3'!D7+'Anlage 6.4'!D7</f>
        <v>1</v>
      </c>
      <c r="E7" s="434">
        <f>'Anlage 6.1'!E7+'Anlage 6.2'!E7+'Anlage 6.3'!E7+'Anlage 6.4'!E7</f>
        <v>0</v>
      </c>
      <c r="F7" s="317">
        <f>'Anlage 6.1'!F7+'Anlage 6.2'!F7+'Anlage 6.3'!F7+'Anlage 6.4'!F7</f>
        <v>1</v>
      </c>
      <c r="G7" s="435">
        <f>'Anlage 6.1'!G7+'Anlage 6.2'!G7+'Anlage 6.3'!G7+'Anlage 6.4'!G7</f>
        <v>0</v>
      </c>
      <c r="H7" s="317">
        <f>'Anlage 6.1'!H7+'Anlage 6.2'!H7+'Anlage 6.3'!H7+'Anlage 6.4'!H7</f>
        <v>1</v>
      </c>
      <c r="I7" s="343">
        <f>'Anlage 6.1'!I7+'Anlage 6.2'!I7+'Anlage 6.3'!I7+'Anlage 6.4'!I7</f>
        <v>3</v>
      </c>
      <c r="J7" s="157">
        <f>'Anlage 6.1'!J7+'Anlage 6.2'!J7+'Anlage 6.3'!J7+'Anlage 6.4'!J7</f>
        <v>0</v>
      </c>
      <c r="K7" s="157">
        <f>'Anlage 6.1'!K7+'Anlage 6.2'!K7+'Anlage 6.3'!K7+'Anlage 6.4'!K7</f>
        <v>0</v>
      </c>
      <c r="L7" s="434">
        <f>'Anlage 6.1'!L7+'Anlage 6.2'!L7+'Anlage 6.3'!L7+'Anlage 6.4'!L7</f>
        <v>0</v>
      </c>
      <c r="M7" s="317">
        <f>'Anlage 6.1'!M7+'Anlage 6.2'!M7+'Anlage 6.3'!M7+'Anlage 6.4'!M7</f>
        <v>4</v>
      </c>
      <c r="N7" s="435">
        <f>'Anlage 6.1'!N7+'Anlage 6.2'!N7+'Anlage 6.3'!N7+'Anlage 6.4'!N7</f>
        <v>0</v>
      </c>
      <c r="O7" s="317">
        <f>'Anlage 6.1'!O7+'Anlage 6.2'!O7+'Anlage 6.3'!O7+'Anlage 6.4'!O7</f>
        <v>4</v>
      </c>
    </row>
    <row r="8" spans="1:17" x14ac:dyDescent="0.25">
      <c r="A8" s="334" t="s">
        <v>186</v>
      </c>
      <c r="B8" s="157">
        <f>'Anlage 6.1'!B8+'Anlage 6.2'!B8+'Anlage 6.3'!B8+'Anlage 6.4'!B8</f>
        <v>0</v>
      </c>
      <c r="C8" s="157">
        <f>'Anlage 6.1'!C8+'Anlage 6.2'!C8+'Anlage 6.3'!C8+'Anlage 6.4'!C8</f>
        <v>0</v>
      </c>
      <c r="D8" s="157">
        <f>'Anlage 6.1'!D8+'Anlage 6.2'!D8+'Anlage 6.3'!D8+'Anlage 6.4'!D8</f>
        <v>0</v>
      </c>
      <c r="E8" s="434">
        <f>'Anlage 6.1'!E8+'Anlage 6.2'!E8+'Anlage 6.3'!E8+'Anlage 6.4'!E8</f>
        <v>1</v>
      </c>
      <c r="F8" s="317">
        <f>'Anlage 6.1'!F8+'Anlage 6.2'!F8+'Anlage 6.3'!F8+'Anlage 6.4'!F8</f>
        <v>1</v>
      </c>
      <c r="G8" s="435">
        <f>'Anlage 6.1'!G8+'Anlage 6.2'!G8+'Anlage 6.3'!G8+'Anlage 6.4'!G8</f>
        <v>0</v>
      </c>
      <c r="H8" s="317">
        <f>'Anlage 6.1'!H8+'Anlage 6.2'!H8+'Anlage 6.3'!H8+'Anlage 6.4'!H8</f>
        <v>1</v>
      </c>
      <c r="I8" s="343">
        <f>'Anlage 6.1'!I8+'Anlage 6.2'!I8+'Anlage 6.3'!I8+'Anlage 6.4'!I8</f>
        <v>0</v>
      </c>
      <c r="J8" s="157">
        <f>'Anlage 6.1'!J8+'Anlage 6.2'!J8+'Anlage 6.3'!J8+'Anlage 6.4'!J8</f>
        <v>0</v>
      </c>
      <c r="K8" s="157">
        <f>'Anlage 6.1'!K8+'Anlage 6.2'!K8+'Anlage 6.3'!K8+'Anlage 6.4'!K8</f>
        <v>0</v>
      </c>
      <c r="L8" s="434">
        <f>'Anlage 6.1'!L8+'Anlage 6.2'!L8+'Anlage 6.3'!L8+'Anlage 6.4'!L8</f>
        <v>0</v>
      </c>
      <c r="M8" s="317">
        <f>'Anlage 6.1'!M8+'Anlage 6.2'!M8+'Anlage 6.3'!M8+'Anlage 6.4'!M8</f>
        <v>1</v>
      </c>
      <c r="N8" s="435">
        <f>'Anlage 6.1'!N8+'Anlage 6.2'!N8+'Anlage 6.3'!N8+'Anlage 6.4'!N8</f>
        <v>0</v>
      </c>
      <c r="O8" s="317">
        <f>'Anlage 6.1'!O8+'Anlage 6.2'!O8+'Anlage 6.3'!O8+'Anlage 6.4'!O8</f>
        <v>1</v>
      </c>
    </row>
    <row r="9" spans="1:17" ht="14.25" thickBot="1" x14ac:dyDescent="0.3">
      <c r="A9" s="436" t="s">
        <v>291</v>
      </c>
      <c r="B9" s="264">
        <f>'Anlage 6.1'!B9+'Anlage 6.2'!B9+'Anlage 6.3'!B9+'Anlage 6.4'!B9</f>
        <v>1</v>
      </c>
      <c r="C9" s="264">
        <f>'Anlage 6.1'!C9+'Anlage 6.2'!C9+'Anlage 6.3'!C9+'Anlage 6.4'!C9</f>
        <v>0</v>
      </c>
      <c r="D9" s="264">
        <f>'Anlage 6.1'!D9+'Anlage 6.2'!D9+'Anlage 6.3'!D9+'Anlage 6.4'!D9</f>
        <v>0</v>
      </c>
      <c r="E9" s="437">
        <f>'Anlage 6.1'!E9+'Anlage 6.2'!E9+'Anlage 6.3'!E9+'Anlage 6.4'!E9</f>
        <v>0</v>
      </c>
      <c r="F9" s="400">
        <f>'Anlage 6.1'!F9+'Anlage 6.2'!F9+'Anlage 6.3'!F9+'Anlage 6.4'!F9</f>
        <v>1</v>
      </c>
      <c r="G9" s="438">
        <f>'Anlage 6.1'!G9+'Anlage 6.2'!G9+'Anlage 6.3'!G9+'Anlage 6.4'!G9</f>
        <v>1</v>
      </c>
      <c r="H9" s="400">
        <f>'Anlage 6.1'!H9+'Anlage 6.2'!H9+'Anlage 6.3'!H9+'Anlage 6.4'!H9</f>
        <v>2</v>
      </c>
      <c r="I9" s="254">
        <f>'Anlage 6.1'!I9+'Anlage 6.2'!I9+'Anlage 6.3'!I9+'Anlage 6.4'!I9</f>
        <v>0</v>
      </c>
      <c r="J9" s="264">
        <f>'Anlage 6.1'!J9+'Anlage 6.2'!J9+'Anlage 6.3'!J9+'Anlage 6.4'!J9</f>
        <v>0</v>
      </c>
      <c r="K9" s="264">
        <f>'Anlage 6.1'!K9+'Anlage 6.2'!K9+'Anlage 6.3'!K9+'Anlage 6.4'!K9</f>
        <v>0</v>
      </c>
      <c r="L9" s="437">
        <f>'Anlage 6.1'!L9+'Anlage 6.2'!L9+'Anlage 6.3'!L9+'Anlage 6.4'!L9</f>
        <v>0</v>
      </c>
      <c r="M9" s="400">
        <f>'Anlage 6.1'!M9+'Anlage 6.2'!M9+'Anlage 6.3'!M9+'Anlage 6.4'!M9</f>
        <v>2</v>
      </c>
      <c r="N9" s="438">
        <f>'Anlage 6.1'!N9+'Anlage 6.2'!N9+'Anlage 6.3'!N9+'Anlage 6.4'!N9</f>
        <v>0</v>
      </c>
      <c r="O9" s="400">
        <f>'Anlage 6.1'!O9+'Anlage 6.2'!O9+'Anlage 6.3'!O9+'Anlage 6.4'!O9</f>
        <v>2</v>
      </c>
    </row>
    <row r="10" spans="1:17" ht="14.25" thickBot="1" x14ac:dyDescent="0.3">
      <c r="A10" s="423" t="s">
        <v>25</v>
      </c>
      <c r="B10" s="184">
        <f>'Anlage 6.1'!B10+'Anlage 6.2'!B10+'Anlage 6.3'!B10+'Anlage 6.4'!B10</f>
        <v>1</v>
      </c>
      <c r="C10" s="184">
        <f>'Anlage 6.1'!C10+'Anlage 6.2'!C10+'Anlage 6.3'!C10+'Anlage 6.4'!C10</f>
        <v>0</v>
      </c>
      <c r="D10" s="184">
        <f>'Anlage 6.1'!D10+'Anlage 6.2'!D10+'Anlage 6.3'!D10+'Anlage 6.4'!D10</f>
        <v>1</v>
      </c>
      <c r="E10" s="249">
        <f>'Anlage 6.1'!E10+'Anlage 6.2'!E10+'Anlage 6.3'!E10+'Anlage 6.4'!E10</f>
        <v>1</v>
      </c>
      <c r="F10" s="319">
        <f>'Anlage 6.1'!F10+'Anlage 6.2'!F10+'Anlage 6.3'!F10+'Anlage 6.4'!F10</f>
        <v>3</v>
      </c>
      <c r="G10" s="337">
        <f>'Anlage 6.1'!G10+'Anlage 6.2'!G10+'Anlage 6.3'!G10+'Anlage 6.4'!G10</f>
        <v>1</v>
      </c>
      <c r="H10" s="319">
        <f>'Anlage 6.1'!H10+'Anlage 6.2'!H10+'Anlage 6.3'!H10+'Anlage 6.4'!H10</f>
        <v>4</v>
      </c>
      <c r="I10" s="204">
        <f>'Anlage 6.1'!I10+'Anlage 6.2'!I10+'Anlage 6.3'!I10+'Anlage 6.4'!I10</f>
        <v>5</v>
      </c>
      <c r="J10" s="184">
        <f>'Anlage 6.1'!J10+'Anlage 6.2'!J10+'Anlage 6.3'!J10+'Anlage 6.4'!J10</f>
        <v>0</v>
      </c>
      <c r="K10" s="184">
        <f>'Anlage 6.1'!K10+'Anlage 6.2'!K10+'Anlage 6.3'!K10+'Anlage 6.4'!K10</f>
        <v>0</v>
      </c>
      <c r="L10" s="249">
        <f>'Anlage 6.1'!L10+'Anlage 6.2'!L10+'Anlage 6.3'!L10+'Anlage 6.4'!L10</f>
        <v>0</v>
      </c>
      <c r="M10" s="319">
        <f>'Anlage 6.1'!M10+'Anlage 6.2'!M10+'Anlage 6.3'!M10+'Anlage 6.4'!M10</f>
        <v>9</v>
      </c>
      <c r="N10" s="337">
        <f>'Anlage 6.1'!N10+'Anlage 6.2'!N10+'Anlage 6.3'!N10+'Anlage 6.4'!N10</f>
        <v>0</v>
      </c>
      <c r="O10" s="319">
        <f>'Anlage 6.1'!O10+'Anlage 6.2'!O10+'Anlage 6.3'!O10+'Anlage 6.4'!O10</f>
        <v>9</v>
      </c>
    </row>
    <row r="11" spans="1:17" hidden="1" x14ac:dyDescent="0.25">
      <c r="A11" s="803" t="s">
        <v>26</v>
      </c>
      <c r="B11" s="715"/>
      <c r="C11" s="715"/>
      <c r="D11" s="715"/>
      <c r="E11" s="804"/>
      <c r="F11" s="805"/>
      <c r="G11" s="806"/>
      <c r="H11" s="805"/>
      <c r="I11" s="675"/>
      <c r="J11" s="715"/>
      <c r="K11" s="715"/>
      <c r="L11" s="804"/>
      <c r="M11" s="805"/>
      <c r="N11" s="806"/>
      <c r="O11" s="805"/>
    </row>
    <row r="12" spans="1:17" x14ac:dyDescent="0.25">
      <c r="A12" s="334" t="s">
        <v>187</v>
      </c>
      <c r="B12" s="157">
        <f>'Anlage 6.1'!B12+'Anlage 6.2'!B11+'Anlage 6.3'!B12+'Anlage 6.4'!B12</f>
        <v>1</v>
      </c>
      <c r="C12" s="157">
        <f>'Anlage 6.1'!C12+'Anlage 6.2'!C11+'Anlage 6.3'!C12+'Anlage 6.4'!C12</f>
        <v>0</v>
      </c>
      <c r="D12" s="157">
        <f>'Anlage 6.1'!D12+'Anlage 6.2'!D11+'Anlage 6.3'!D12+'Anlage 6.4'!D12</f>
        <v>0</v>
      </c>
      <c r="E12" s="434">
        <f>'Anlage 6.1'!E12+'Anlage 6.2'!E11+'Anlage 6.3'!E12+'Anlage 6.4'!E12</f>
        <v>0</v>
      </c>
      <c r="F12" s="317">
        <f>'Anlage 6.1'!F12+'Anlage 6.2'!F11+'Anlage 6.3'!F12+'Anlage 6.4'!F12</f>
        <v>1</v>
      </c>
      <c r="G12" s="435">
        <f>'Anlage 6.1'!G12+'Anlage 6.2'!G11+'Anlage 6.3'!G12+'Anlage 6.4'!G12</f>
        <v>0</v>
      </c>
      <c r="H12" s="317">
        <f>'Anlage 6.1'!H12+'Anlage 6.2'!H11+'Anlage 6.3'!H12+'Anlage 6.4'!H12</f>
        <v>1</v>
      </c>
      <c r="I12" s="343">
        <f>'Anlage 6.1'!I12+'Anlage 6.2'!I11+'Anlage 6.3'!I12+'Anlage 6.4'!I12</f>
        <v>0</v>
      </c>
      <c r="J12" s="157">
        <f>'Anlage 6.1'!J12+'Anlage 6.2'!J11+'Anlage 6.3'!J12+'Anlage 6.4'!J12</f>
        <v>0</v>
      </c>
      <c r="K12" s="157">
        <f>'Anlage 6.1'!K12+'Anlage 6.2'!K11+'Anlage 6.3'!K12+'Anlage 6.4'!K12</f>
        <v>0</v>
      </c>
      <c r="L12" s="434">
        <f>'Anlage 6.1'!L12+'Anlage 6.2'!L11+'Anlage 6.3'!L12+'Anlage 6.4'!L12</f>
        <v>0</v>
      </c>
      <c r="M12" s="317">
        <f>'Anlage 6.1'!M12+'Anlage 6.2'!M11+'Anlage 6.3'!M12+'Anlage 6.4'!M12</f>
        <v>1</v>
      </c>
      <c r="N12" s="435">
        <f>'Anlage 6.1'!N12+'Anlage 6.2'!N11+'Anlage 6.3'!N12+'Anlage 6.4'!N12</f>
        <v>0</v>
      </c>
      <c r="O12" s="317">
        <f>'Anlage 6.1'!O12+'Anlage 6.2'!O11+'Anlage 6.3'!O12+'Anlage 6.4'!O12</f>
        <v>1</v>
      </c>
    </row>
    <row r="13" spans="1:17" x14ac:dyDescent="0.25">
      <c r="A13" s="334" t="s">
        <v>28</v>
      </c>
      <c r="B13" s="157">
        <f>'Anlage 6.1'!B13+'Anlage 6.2'!B12+'Anlage 6.3'!B13+'Anlage 6.4'!B13</f>
        <v>0</v>
      </c>
      <c r="C13" s="157">
        <f>'Anlage 6.1'!C13+'Anlage 6.2'!C12+'Anlage 6.3'!C13+'Anlage 6.4'!C13</f>
        <v>0</v>
      </c>
      <c r="D13" s="157">
        <f>'Anlage 6.1'!D13+'Anlage 6.2'!D12+'Anlage 6.3'!D13+'Anlage 6.4'!D13</f>
        <v>0</v>
      </c>
      <c r="E13" s="434">
        <f>'Anlage 6.1'!E13+'Anlage 6.2'!E12+'Anlage 6.3'!E13+'Anlage 6.4'!E13</f>
        <v>0</v>
      </c>
      <c r="F13" s="317">
        <f>'Anlage 6.1'!F13+'Anlage 6.2'!F12+'Anlage 6.3'!F13+'Anlage 6.4'!F13</f>
        <v>0</v>
      </c>
      <c r="G13" s="435">
        <f>'Anlage 6.1'!G13+'Anlage 6.2'!G12+'Anlage 6.3'!G13+'Anlage 6.4'!G13</f>
        <v>0</v>
      </c>
      <c r="H13" s="317">
        <f>'Anlage 6.1'!H13+'Anlage 6.2'!H12+'Anlage 6.3'!H13+'Anlage 6.4'!H13</f>
        <v>0</v>
      </c>
      <c r="I13" s="343">
        <f>'Anlage 6.1'!I13+'Anlage 6.2'!I12+'Anlage 6.3'!I13+'Anlage 6.4'!I13</f>
        <v>0</v>
      </c>
      <c r="J13" s="157">
        <f>'Anlage 6.1'!J13+'Anlage 6.2'!J12+'Anlage 6.3'!J13+'Anlage 6.4'!J13</f>
        <v>0</v>
      </c>
      <c r="K13" s="157">
        <f>'Anlage 6.1'!K13+'Anlage 6.2'!K12+'Anlage 6.3'!K13+'Anlage 6.4'!K13</f>
        <v>0</v>
      </c>
      <c r="L13" s="434">
        <f>'Anlage 6.1'!L13+'Anlage 6.2'!L12+'Anlage 6.3'!L13+'Anlage 6.4'!L13</f>
        <v>0</v>
      </c>
      <c r="M13" s="317">
        <f>'Anlage 6.1'!M13+'Anlage 6.2'!M12+'Anlage 6.3'!M13+'Anlage 6.4'!M13</f>
        <v>0</v>
      </c>
      <c r="N13" s="435">
        <f>'Anlage 6.1'!N13+'Anlage 6.2'!N12+'Anlage 6.3'!N13+'Anlage 6.4'!N13</f>
        <v>0</v>
      </c>
      <c r="O13" s="317">
        <f>'Anlage 6.1'!O13+'Anlage 6.2'!O12+'Anlage 6.3'!O13+'Anlage 6.4'!O13</f>
        <v>0</v>
      </c>
    </row>
    <row r="14" spans="1:17" x14ac:dyDescent="0.25">
      <c r="A14" s="334" t="s">
        <v>29</v>
      </c>
      <c r="B14" s="157">
        <f>'Anlage 6.1'!B14+'Anlage 6.2'!B13+'Anlage 6.3'!B14+'Anlage 6.4'!B14</f>
        <v>5</v>
      </c>
      <c r="C14" s="157">
        <f>'Anlage 6.1'!C14+'Anlage 6.2'!C13+'Anlage 6.3'!C14+'Anlage 6.4'!C14</f>
        <v>4</v>
      </c>
      <c r="D14" s="157">
        <f>'Anlage 6.1'!D14+'Anlage 6.2'!D13+'Anlage 6.3'!D14+'Anlage 6.4'!D14</f>
        <v>0</v>
      </c>
      <c r="E14" s="434">
        <f>'Anlage 6.1'!E14+'Anlage 6.2'!E13+'Anlage 6.3'!E14+'Anlage 6.4'!E14</f>
        <v>0</v>
      </c>
      <c r="F14" s="317">
        <f>'Anlage 6.1'!F14+'Anlage 6.2'!F13+'Anlage 6.3'!F14+'Anlage 6.4'!F14</f>
        <v>9</v>
      </c>
      <c r="G14" s="435">
        <f>'Anlage 6.1'!G14+'Anlage 6.2'!G13+'Anlage 6.3'!G14+'Anlage 6.4'!G14</f>
        <v>1</v>
      </c>
      <c r="H14" s="317">
        <f>'Anlage 6.1'!H14+'Anlage 6.2'!H13+'Anlage 6.3'!H14+'Anlage 6.4'!H14</f>
        <v>10</v>
      </c>
      <c r="I14" s="343">
        <f>'Anlage 6.1'!I14+'Anlage 6.2'!I13+'Anlage 6.3'!I14+'Anlage 6.4'!I14</f>
        <v>0</v>
      </c>
      <c r="J14" s="157">
        <f>'Anlage 6.1'!J14+'Anlage 6.2'!J13+'Anlage 6.3'!J14+'Anlage 6.4'!J14</f>
        <v>0</v>
      </c>
      <c r="K14" s="157">
        <f>'Anlage 6.1'!K14+'Anlage 6.2'!K13+'Anlage 6.3'!K14+'Anlage 6.4'!K14</f>
        <v>1</v>
      </c>
      <c r="L14" s="434">
        <f>'Anlage 6.1'!L14+'Anlage 6.2'!L13+'Anlage 6.3'!L14+'Anlage 6.4'!L14</f>
        <v>0</v>
      </c>
      <c r="M14" s="317">
        <f>'Anlage 6.1'!M14+'Anlage 6.2'!M13+'Anlage 6.3'!M14+'Anlage 6.4'!M14</f>
        <v>11</v>
      </c>
      <c r="N14" s="435">
        <f>'Anlage 6.1'!N14+'Anlage 6.2'!N13+'Anlage 6.3'!N14+'Anlage 6.4'!N14</f>
        <v>0</v>
      </c>
      <c r="O14" s="317">
        <f>'Anlage 6.1'!O14+'Anlage 6.2'!O13+'Anlage 6.3'!O14+'Anlage 6.4'!O14</f>
        <v>11</v>
      </c>
    </row>
    <row r="15" spans="1:17" x14ac:dyDescent="0.25">
      <c r="A15" s="334" t="s">
        <v>188</v>
      </c>
      <c r="B15" s="157">
        <f>'Anlage 6.1'!B15+'Anlage 6.2'!B14+'Anlage 6.3'!B15+'Anlage 6.4'!B15</f>
        <v>24</v>
      </c>
      <c r="C15" s="157">
        <f>'Anlage 6.1'!C15+'Anlage 6.2'!C14+'Anlage 6.3'!C15+'Anlage 6.4'!C15</f>
        <v>0</v>
      </c>
      <c r="D15" s="157">
        <f>'Anlage 6.1'!D15+'Anlage 6.2'!D14+'Anlage 6.3'!D15+'Anlage 6.4'!D15</f>
        <v>1</v>
      </c>
      <c r="E15" s="434">
        <f>'Anlage 6.1'!E15+'Anlage 6.2'!E14+'Anlage 6.3'!E15+'Anlage 6.4'!E15</f>
        <v>0</v>
      </c>
      <c r="F15" s="317">
        <f>'Anlage 6.1'!F15+'Anlage 6.2'!F14+'Anlage 6.3'!F15+'Anlage 6.4'!F15</f>
        <v>25</v>
      </c>
      <c r="G15" s="435">
        <f>'Anlage 6.1'!G15+'Anlage 6.2'!G14+'Anlage 6.3'!G15+'Anlage 6.4'!G15</f>
        <v>1</v>
      </c>
      <c r="H15" s="317">
        <f>'Anlage 6.1'!H15+'Anlage 6.2'!H14+'Anlage 6.3'!H15+'Anlage 6.4'!H15</f>
        <v>26</v>
      </c>
      <c r="I15" s="343">
        <f>'Anlage 6.1'!I15+'Anlage 6.2'!I14+'Anlage 6.3'!I15+'Anlage 6.4'!I15</f>
        <v>0</v>
      </c>
      <c r="J15" s="157">
        <f>'Anlage 6.1'!J15+'Anlage 6.2'!J14+'Anlage 6.3'!J15+'Anlage 6.4'!J15</f>
        <v>0</v>
      </c>
      <c r="K15" s="157">
        <f>'Anlage 6.1'!K15+'Anlage 6.2'!K14+'Anlage 6.3'!K15+'Anlage 6.4'!K15</f>
        <v>0</v>
      </c>
      <c r="L15" s="434">
        <f>'Anlage 6.1'!L15+'Anlage 6.2'!L14+'Anlage 6.3'!L15+'Anlage 6.4'!L15</f>
        <v>0</v>
      </c>
      <c r="M15" s="317">
        <f>'Anlage 6.1'!M15+'Anlage 6.2'!M14+'Anlage 6.3'!M15+'Anlage 6.4'!M15</f>
        <v>26</v>
      </c>
      <c r="N15" s="435">
        <f>'Anlage 6.1'!N15+'Anlage 6.2'!N14+'Anlage 6.3'!N15+'Anlage 6.4'!N15</f>
        <v>0</v>
      </c>
      <c r="O15" s="317">
        <f>'Anlage 6.1'!O15+'Anlage 6.2'!O14+'Anlage 6.3'!O15+'Anlage 6.4'!O15</f>
        <v>26</v>
      </c>
    </row>
    <row r="16" spans="1:17" ht="14.25" thickBot="1" x14ac:dyDescent="0.3">
      <c r="A16" s="323" t="s">
        <v>292</v>
      </c>
      <c r="B16" s="264">
        <f>'Anlage 6.1'!B16+'Anlage 6.2'!B15+'Anlage 6.3'!B16+'Anlage 6.4'!B16</f>
        <v>2</v>
      </c>
      <c r="C16" s="264">
        <f>'Anlage 6.1'!C16+'Anlage 6.2'!C15+'Anlage 6.3'!C16+'Anlage 6.4'!C16</f>
        <v>0</v>
      </c>
      <c r="D16" s="264">
        <f>'Anlage 6.1'!D16+'Anlage 6.2'!D15+'Anlage 6.3'!D16+'Anlage 6.4'!D16</f>
        <v>3</v>
      </c>
      <c r="E16" s="437">
        <f>'Anlage 6.1'!E16+'Anlage 6.2'!E15+'Anlage 6.3'!E16+'Anlage 6.4'!E16</f>
        <v>0</v>
      </c>
      <c r="F16" s="400">
        <f>'Anlage 6.1'!F16+'Anlage 6.2'!F15+'Anlage 6.3'!F16+'Anlage 6.4'!F16</f>
        <v>5</v>
      </c>
      <c r="G16" s="438">
        <f>'Anlage 6.1'!G16+'Anlage 6.2'!G15+'Anlage 6.3'!G16+'Anlage 6.4'!G16</f>
        <v>0</v>
      </c>
      <c r="H16" s="400">
        <f>'Anlage 6.1'!H16+'Anlage 6.2'!H15+'Anlage 6.3'!H16+'Anlage 6.4'!H16</f>
        <v>5</v>
      </c>
      <c r="I16" s="254">
        <f>'Anlage 6.1'!I16+'Anlage 6.2'!I15+'Anlage 6.3'!I16+'Anlage 6.4'!I16</f>
        <v>0</v>
      </c>
      <c r="J16" s="264">
        <f>'Anlage 6.1'!J16+'Anlage 6.2'!J15+'Anlage 6.3'!J16+'Anlage 6.4'!J16</f>
        <v>0</v>
      </c>
      <c r="K16" s="264">
        <f>'Anlage 6.1'!K16+'Anlage 6.2'!K15+'Anlage 6.3'!K16+'Anlage 6.4'!K16</f>
        <v>0</v>
      </c>
      <c r="L16" s="437">
        <f>'Anlage 6.1'!L16+'Anlage 6.2'!L15+'Anlage 6.3'!L16+'Anlage 6.4'!L16</f>
        <v>1</v>
      </c>
      <c r="M16" s="400">
        <f>'Anlage 6.1'!M16+'Anlage 6.2'!M15+'Anlage 6.3'!M16+'Anlage 6.4'!M16</f>
        <v>6</v>
      </c>
      <c r="N16" s="438">
        <f>'Anlage 6.1'!N16+'Anlage 6.2'!N15+'Anlage 6.3'!N16+'Anlage 6.4'!N16</f>
        <v>1</v>
      </c>
      <c r="O16" s="400">
        <f>'Anlage 6.1'!O16+'Anlage 6.2'!O15+'Anlage 6.3'!O16+'Anlage 6.4'!O16</f>
        <v>7</v>
      </c>
    </row>
    <row r="17" spans="1:15" ht="14.25" thickBot="1" x14ac:dyDescent="0.3">
      <c r="A17" s="424" t="s">
        <v>30</v>
      </c>
      <c r="B17" s="184">
        <f>'Anlage 6.1'!B17+'Anlage 6.2'!B16+'Anlage 6.3'!B17+'Anlage 6.4'!B17</f>
        <v>32</v>
      </c>
      <c r="C17" s="184">
        <f>'Anlage 6.1'!C17+'Anlage 6.2'!C16+'Anlage 6.3'!C17+'Anlage 6.4'!C17</f>
        <v>4</v>
      </c>
      <c r="D17" s="184">
        <f>'Anlage 6.1'!D17+'Anlage 6.2'!D16+'Anlage 6.3'!D17+'Anlage 6.4'!D17</f>
        <v>4</v>
      </c>
      <c r="E17" s="249">
        <f>'Anlage 6.1'!E17+'Anlage 6.2'!E16+'Anlage 6.3'!E17+'Anlage 6.4'!E17</f>
        <v>0</v>
      </c>
      <c r="F17" s="319">
        <f>'Anlage 6.1'!F17+'Anlage 6.2'!F16+'Anlage 6.3'!F17+'Anlage 6.4'!F17</f>
        <v>40</v>
      </c>
      <c r="G17" s="337">
        <f>'Anlage 6.1'!G17+'Anlage 6.2'!G16+'Anlage 6.3'!G17+'Anlage 6.4'!G17</f>
        <v>2</v>
      </c>
      <c r="H17" s="319">
        <f>'Anlage 6.1'!H17+'Anlage 6.2'!H16+'Anlage 6.3'!H17+'Anlage 6.4'!H17</f>
        <v>42</v>
      </c>
      <c r="I17" s="204">
        <f>'Anlage 6.1'!I17+'Anlage 6.2'!I16+'Anlage 6.3'!I17+'Anlage 6.4'!I17</f>
        <v>0</v>
      </c>
      <c r="J17" s="184">
        <f>'Anlage 6.1'!J17+'Anlage 6.2'!J16+'Anlage 6.3'!J17+'Anlage 6.4'!J17</f>
        <v>0</v>
      </c>
      <c r="K17" s="184">
        <f>'Anlage 6.1'!K17+'Anlage 6.2'!K16+'Anlage 6.3'!K17+'Anlage 6.4'!K17</f>
        <v>1</v>
      </c>
      <c r="L17" s="249">
        <f>'Anlage 6.1'!L17+'Anlage 6.2'!L16+'Anlage 6.3'!L17+'Anlage 6.4'!L17</f>
        <v>1</v>
      </c>
      <c r="M17" s="319">
        <f>'Anlage 6.1'!M17+'Anlage 6.2'!M16+'Anlage 6.3'!M17+'Anlage 6.4'!M17</f>
        <v>44</v>
      </c>
      <c r="N17" s="337">
        <f>'Anlage 6.1'!N17+'Anlage 6.2'!N16+'Anlage 6.3'!N17+'Anlage 6.4'!N17</f>
        <v>1</v>
      </c>
      <c r="O17" s="319">
        <f>'Anlage 6.1'!O17+'Anlage 6.2'!O16+'Anlage 6.3'!O17+'Anlage 6.4'!O17</f>
        <v>45</v>
      </c>
    </row>
    <row r="18" spans="1:15" x14ac:dyDescent="0.25">
      <c r="A18" s="439" t="s">
        <v>317</v>
      </c>
      <c r="B18" s="234">
        <f>'Anlage 6.1'!B18+'Anlage 6.2'!B17+'Anlage 6.3'!B18+'Anlage 6.4'!B18</f>
        <v>0</v>
      </c>
      <c r="C18" s="234">
        <f>'Anlage 6.1'!C18+'Anlage 6.2'!C17+'Anlage 6.3'!C18+'Anlage 6.4'!C18</f>
        <v>0</v>
      </c>
      <c r="D18" s="234">
        <f>'Anlage 6.1'!D18+'Anlage 6.2'!D17+'Anlage 6.3'!D18+'Anlage 6.4'!D18</f>
        <v>0</v>
      </c>
      <c r="E18" s="432">
        <f>'Anlage 6.1'!E18+'Anlage 6.2'!E17+'Anlage 6.3'!E18+'Anlage 6.4'!E18</f>
        <v>0</v>
      </c>
      <c r="F18" s="328">
        <f>'Anlage 6.1'!F18+'Anlage 6.2'!F17+'Anlage 6.3'!F18+'Anlage 6.4'!F18</f>
        <v>0</v>
      </c>
      <c r="G18" s="433">
        <f>'Anlage 6.1'!G18+'Anlage 6.2'!G17+'Anlage 6.3'!G18+'Anlage 6.4'!G18</f>
        <v>0</v>
      </c>
      <c r="H18" s="328">
        <f>'Anlage 6.1'!H18+'Anlage 6.2'!H17+'Anlage 6.3'!H18+'Anlage 6.4'!H18</f>
        <v>0</v>
      </c>
      <c r="I18" s="223">
        <f>'Anlage 6.1'!I18+'Anlage 6.2'!I17+'Anlage 6.3'!I18+'Anlage 6.4'!I18</f>
        <v>0</v>
      </c>
      <c r="J18" s="234">
        <f>'Anlage 6.1'!J18+'Anlage 6.2'!J17+'Anlage 6.3'!J18+'Anlage 6.4'!J18</f>
        <v>0</v>
      </c>
      <c r="K18" s="234">
        <f>'Anlage 6.1'!K18+'Anlage 6.2'!K17+'Anlage 6.3'!K18+'Anlage 6.4'!K18</f>
        <v>0</v>
      </c>
      <c r="L18" s="432">
        <f>'Anlage 6.1'!L18+'Anlage 6.2'!L17+'Anlage 6.3'!L18+'Anlage 6.4'!L18</f>
        <v>0</v>
      </c>
      <c r="M18" s="328">
        <f>'Anlage 6.1'!M18+'Anlage 6.2'!M17+'Anlage 6.3'!M18+'Anlage 6.4'!M18</f>
        <v>0</v>
      </c>
      <c r="N18" s="433">
        <f>'Anlage 6.1'!N18+'Anlage 6.2'!N17+'Anlage 6.3'!N18+'Anlage 6.4'!N18</f>
        <v>0</v>
      </c>
      <c r="O18" s="328">
        <f>'Anlage 6.1'!O18+'Anlage 6.2'!O17+'Anlage 6.3'!O18+'Anlage 6.4'!O18</f>
        <v>0</v>
      </c>
    </row>
    <row r="19" spans="1:15" x14ac:dyDescent="0.25">
      <c r="A19" s="440" t="s">
        <v>316</v>
      </c>
      <c r="B19" s="157">
        <f>'Anlage 6.1'!B19+'Anlage 6.2'!B18+'Anlage 6.3'!B19+'Anlage 6.4'!B19</f>
        <v>0</v>
      </c>
      <c r="C19" s="157">
        <f>'Anlage 6.1'!C19+'Anlage 6.2'!C18+'Anlage 6.3'!C19+'Anlage 6.4'!C19</f>
        <v>0</v>
      </c>
      <c r="D19" s="157">
        <f>'Anlage 6.1'!D19+'Anlage 6.2'!D18+'Anlage 6.3'!D19+'Anlage 6.4'!D19</f>
        <v>0</v>
      </c>
      <c r="E19" s="434">
        <f>'Anlage 6.1'!E19+'Anlage 6.2'!E18+'Anlage 6.3'!E19+'Anlage 6.4'!E19</f>
        <v>0</v>
      </c>
      <c r="F19" s="317">
        <f>'Anlage 6.1'!F19+'Anlage 6.2'!F18+'Anlage 6.3'!F19+'Anlage 6.4'!F19</f>
        <v>0</v>
      </c>
      <c r="G19" s="435">
        <f>'Anlage 6.1'!G19+'Anlage 6.2'!G18+'Anlage 6.3'!G19+'Anlage 6.4'!G19</f>
        <v>0</v>
      </c>
      <c r="H19" s="317">
        <f>'Anlage 6.1'!H19+'Anlage 6.2'!H18+'Anlage 6.3'!H19+'Anlage 6.4'!H19</f>
        <v>0</v>
      </c>
      <c r="I19" s="343">
        <f>'Anlage 6.1'!I19+'Anlage 6.2'!I18+'Anlage 6.3'!I19+'Anlage 6.4'!I19</f>
        <v>0</v>
      </c>
      <c r="J19" s="157">
        <f>'Anlage 6.1'!J19+'Anlage 6.2'!J18+'Anlage 6.3'!J19+'Anlage 6.4'!J19</f>
        <v>0</v>
      </c>
      <c r="K19" s="157">
        <f>'Anlage 6.1'!K19+'Anlage 6.2'!K18+'Anlage 6.3'!K19+'Anlage 6.4'!K19</f>
        <v>0</v>
      </c>
      <c r="L19" s="434">
        <f>'Anlage 6.1'!L19+'Anlage 6.2'!L18+'Anlage 6.3'!L19+'Anlage 6.4'!L19</f>
        <v>0</v>
      </c>
      <c r="M19" s="317">
        <f>'Anlage 6.1'!M19+'Anlage 6.2'!M18+'Anlage 6.3'!M19+'Anlage 6.4'!M19</f>
        <v>0</v>
      </c>
      <c r="N19" s="435">
        <f>'Anlage 6.1'!N19+'Anlage 6.2'!N18+'Anlage 6.3'!N19+'Anlage 6.4'!N19</f>
        <v>0</v>
      </c>
      <c r="O19" s="317">
        <f>'Anlage 6.1'!O19+'Anlage 6.2'!O18+'Anlage 6.3'!O19+'Anlage 6.4'!O19</f>
        <v>0</v>
      </c>
    </row>
    <row r="20" spans="1:15" x14ac:dyDescent="0.25">
      <c r="A20" s="334" t="s">
        <v>289</v>
      </c>
      <c r="B20" s="157">
        <f>'Anlage 6.1'!B20+'Anlage 6.2'!B19+'Anlage 6.3'!B20+'Anlage 6.4'!B20</f>
        <v>1</v>
      </c>
      <c r="C20" s="157">
        <f>'Anlage 6.1'!C20+'Anlage 6.2'!C19+'Anlage 6.3'!C20+'Anlage 6.4'!C20</f>
        <v>1</v>
      </c>
      <c r="D20" s="157">
        <f>'Anlage 6.1'!D20+'Anlage 6.2'!D19+'Anlage 6.3'!D20+'Anlage 6.4'!D20</f>
        <v>0</v>
      </c>
      <c r="E20" s="434">
        <f>'Anlage 6.1'!E20+'Anlage 6.2'!E19+'Anlage 6.3'!E20+'Anlage 6.4'!E20</f>
        <v>0</v>
      </c>
      <c r="F20" s="317">
        <f>'Anlage 6.1'!F20+'Anlage 6.2'!F19+'Anlage 6.3'!F20+'Anlage 6.4'!F20</f>
        <v>2</v>
      </c>
      <c r="G20" s="435">
        <f>'Anlage 6.1'!G20+'Anlage 6.2'!G19+'Anlage 6.3'!G20+'Anlage 6.4'!G20</f>
        <v>0</v>
      </c>
      <c r="H20" s="317">
        <f>'Anlage 6.1'!H20+'Anlage 6.2'!H19+'Anlage 6.3'!H20+'Anlage 6.4'!H20</f>
        <v>2</v>
      </c>
      <c r="I20" s="343">
        <f>'Anlage 6.1'!I20+'Anlage 6.2'!I19+'Anlage 6.3'!I20+'Anlage 6.4'!I20</f>
        <v>0</v>
      </c>
      <c r="J20" s="157">
        <f>'Anlage 6.1'!J20+'Anlage 6.2'!J19+'Anlage 6.3'!J20+'Anlage 6.4'!J20</f>
        <v>0</v>
      </c>
      <c r="K20" s="157">
        <f>'Anlage 6.1'!K20+'Anlage 6.2'!K19+'Anlage 6.3'!K20+'Anlage 6.4'!K20</f>
        <v>0</v>
      </c>
      <c r="L20" s="434">
        <f>'Anlage 6.1'!L20+'Anlage 6.2'!L19+'Anlage 6.3'!L20+'Anlage 6.4'!L20</f>
        <v>0</v>
      </c>
      <c r="M20" s="317">
        <f>'Anlage 6.1'!M20+'Anlage 6.2'!M19+'Anlage 6.3'!M20+'Anlage 6.4'!M20</f>
        <v>2</v>
      </c>
      <c r="N20" s="435">
        <f>'Anlage 6.1'!N20+'Anlage 6.2'!N19+'Anlage 6.3'!N20+'Anlage 6.4'!N20</f>
        <v>1</v>
      </c>
      <c r="O20" s="317">
        <f>'Anlage 6.1'!O20+'Anlage 6.2'!O19+'Anlage 6.3'!O20+'Anlage 6.4'!O20</f>
        <v>3</v>
      </c>
    </row>
    <row r="21" spans="1:15" x14ac:dyDescent="0.25">
      <c r="A21" s="334" t="s">
        <v>290</v>
      </c>
      <c r="B21" s="157">
        <f>'Anlage 6.1'!B21+'Anlage 6.2'!B20+'Anlage 6.3'!B21+'Anlage 6.4'!B21</f>
        <v>0</v>
      </c>
      <c r="C21" s="157">
        <f>'Anlage 6.1'!C21+'Anlage 6.2'!C20+'Anlage 6.3'!C21+'Anlage 6.4'!C21</f>
        <v>0</v>
      </c>
      <c r="D21" s="157">
        <f>'Anlage 6.1'!D21+'Anlage 6.2'!D20+'Anlage 6.3'!D21+'Anlage 6.4'!D21</f>
        <v>0</v>
      </c>
      <c r="E21" s="434">
        <f>'Anlage 6.1'!E21+'Anlage 6.2'!E20+'Anlage 6.3'!E21+'Anlage 6.4'!E21</f>
        <v>0</v>
      </c>
      <c r="F21" s="317">
        <f>'Anlage 6.1'!F21+'Anlage 6.2'!F20+'Anlage 6.3'!F21+'Anlage 6.4'!F21</f>
        <v>0</v>
      </c>
      <c r="G21" s="435">
        <f>'Anlage 6.1'!G21+'Anlage 6.2'!G20+'Anlage 6.3'!G21+'Anlage 6.4'!G21</f>
        <v>1</v>
      </c>
      <c r="H21" s="317">
        <f>'Anlage 6.1'!H21+'Anlage 6.2'!H20+'Anlage 6.3'!H21+'Anlage 6.4'!H21</f>
        <v>1</v>
      </c>
      <c r="I21" s="343">
        <f>'Anlage 6.1'!I21+'Anlage 6.2'!I20+'Anlage 6.3'!I21+'Anlage 6.4'!I21</f>
        <v>0</v>
      </c>
      <c r="J21" s="157">
        <f>'Anlage 6.1'!J21+'Anlage 6.2'!J20+'Anlage 6.3'!J21+'Anlage 6.4'!J21</f>
        <v>0</v>
      </c>
      <c r="K21" s="157">
        <f>'Anlage 6.1'!K21+'Anlage 6.2'!K20+'Anlage 6.3'!K21+'Anlage 6.4'!K21</f>
        <v>0</v>
      </c>
      <c r="L21" s="434">
        <f>'Anlage 6.1'!L21+'Anlage 6.2'!L20+'Anlage 6.3'!L21+'Anlage 6.4'!L21</f>
        <v>0</v>
      </c>
      <c r="M21" s="317">
        <f>'Anlage 6.1'!M21+'Anlage 6.2'!M20+'Anlage 6.3'!M21+'Anlage 6.4'!M21</f>
        <v>1</v>
      </c>
      <c r="N21" s="435">
        <f>'Anlage 6.1'!N21+'Anlage 6.2'!N20+'Anlage 6.3'!N21+'Anlage 6.4'!N21</f>
        <v>0</v>
      </c>
      <c r="O21" s="317">
        <f>'Anlage 6.1'!O21+'Anlage 6.2'!O20+'Anlage 6.3'!O21+'Anlage 6.4'!O21</f>
        <v>1</v>
      </c>
    </row>
    <row r="22" spans="1:15" ht="14.25" thickBot="1" x14ac:dyDescent="0.3">
      <c r="A22" s="441" t="s">
        <v>51</v>
      </c>
      <c r="B22" s="264">
        <f>'Anlage 6.1'!B22+'Anlage 6.2'!B21+'Anlage 6.3'!B22+'Anlage 6.4'!B22</f>
        <v>0</v>
      </c>
      <c r="C22" s="264">
        <f>'Anlage 6.1'!C22+'Anlage 6.2'!C21+'Anlage 6.3'!C22+'Anlage 6.4'!C22</f>
        <v>0</v>
      </c>
      <c r="D22" s="264">
        <f>'Anlage 6.1'!D22+'Anlage 6.2'!D21+'Anlage 6.3'!D22+'Anlage 6.4'!D22</f>
        <v>0</v>
      </c>
      <c r="E22" s="437">
        <f>'Anlage 6.1'!E22+'Anlage 6.2'!E21+'Anlage 6.3'!E22+'Anlage 6.4'!E22</f>
        <v>0</v>
      </c>
      <c r="F22" s="400">
        <f>'Anlage 6.1'!F22+'Anlage 6.2'!F21+'Anlage 6.3'!F22+'Anlage 6.4'!F22</f>
        <v>0</v>
      </c>
      <c r="G22" s="438">
        <f>'Anlage 6.1'!G22+'Anlage 6.2'!G21+'Anlage 6.3'!G22+'Anlage 6.4'!G22</f>
        <v>0</v>
      </c>
      <c r="H22" s="400">
        <f>'Anlage 6.1'!H22+'Anlage 6.2'!H21+'Anlage 6.3'!H22+'Anlage 6.4'!H22</f>
        <v>0</v>
      </c>
      <c r="I22" s="254">
        <f>'Anlage 6.1'!I22+'Anlage 6.2'!I21+'Anlage 6.3'!I22+'Anlage 6.4'!I22</f>
        <v>1</v>
      </c>
      <c r="J22" s="264">
        <f>'Anlage 6.1'!J22+'Anlage 6.2'!J21+'Anlage 6.3'!J22+'Anlage 6.4'!J22</f>
        <v>1</v>
      </c>
      <c r="K22" s="264">
        <f>'Anlage 6.1'!K22+'Anlage 6.2'!K21+'Anlage 6.3'!K22+'Anlage 6.4'!K22</f>
        <v>0</v>
      </c>
      <c r="L22" s="437">
        <f>'Anlage 6.1'!L22+'Anlage 6.2'!L21+'Anlage 6.3'!L22+'Anlage 6.4'!L22</f>
        <v>0</v>
      </c>
      <c r="M22" s="400">
        <f>'Anlage 6.1'!M22+'Anlage 6.2'!M21+'Anlage 6.3'!M22+'Anlage 6.4'!M22</f>
        <v>2</v>
      </c>
      <c r="N22" s="438">
        <f>'Anlage 6.1'!N22+'Anlage 6.2'!N21+'Anlage 6.3'!N22+'Anlage 6.4'!N22</f>
        <v>0</v>
      </c>
      <c r="O22" s="400">
        <f>'Anlage 6.1'!O22+'Anlage 6.2'!O21+'Anlage 6.3'!O22+'Anlage 6.4'!O22</f>
        <v>2</v>
      </c>
    </row>
    <row r="23" spans="1:15" ht="14.25" thickBot="1" x14ac:dyDescent="0.3">
      <c r="A23" s="425" t="s">
        <v>31</v>
      </c>
      <c r="B23" s="184">
        <f>'Anlage 6.1'!B23+'Anlage 6.2'!B22+'Anlage 6.3'!B23+'Anlage 6.4'!B23</f>
        <v>1</v>
      </c>
      <c r="C23" s="184">
        <f>'Anlage 6.1'!C23+'Anlage 6.2'!C22+'Anlage 6.3'!C23+'Anlage 6.4'!C23</f>
        <v>1</v>
      </c>
      <c r="D23" s="184">
        <f>'Anlage 6.1'!D23+'Anlage 6.2'!D22+'Anlage 6.3'!D23+'Anlage 6.4'!D23</f>
        <v>0</v>
      </c>
      <c r="E23" s="249">
        <f>'Anlage 6.1'!E23+'Anlage 6.2'!E22+'Anlage 6.3'!E23+'Anlage 6.4'!E23</f>
        <v>0</v>
      </c>
      <c r="F23" s="319">
        <f>'Anlage 6.1'!F23+'Anlage 6.2'!F22+'Anlage 6.3'!F23+'Anlage 6.4'!F23</f>
        <v>2</v>
      </c>
      <c r="G23" s="337">
        <f>'Anlage 6.1'!G23+'Anlage 6.2'!G22+'Anlage 6.3'!G23+'Anlage 6.4'!G23</f>
        <v>1</v>
      </c>
      <c r="H23" s="319">
        <f>'Anlage 6.1'!H23+'Anlage 6.2'!H22+'Anlage 6.3'!H23+'Anlage 6.4'!H23</f>
        <v>3</v>
      </c>
      <c r="I23" s="204">
        <f>'Anlage 6.1'!I23+'Anlage 6.2'!I22+'Anlage 6.3'!I23+'Anlage 6.4'!I23</f>
        <v>1</v>
      </c>
      <c r="J23" s="184">
        <f>'Anlage 6.1'!J23+'Anlage 6.2'!J22+'Anlage 6.3'!J23+'Anlage 6.4'!J23</f>
        <v>1</v>
      </c>
      <c r="K23" s="184">
        <f>'Anlage 6.1'!K23+'Anlage 6.2'!K22+'Anlage 6.3'!K23+'Anlage 6.4'!K23</f>
        <v>0</v>
      </c>
      <c r="L23" s="249">
        <f>'Anlage 6.1'!L23+'Anlage 6.2'!L22+'Anlage 6.3'!L23+'Anlage 6.4'!L23</f>
        <v>0</v>
      </c>
      <c r="M23" s="319">
        <f>'Anlage 6.1'!M23+'Anlage 6.2'!M22+'Anlage 6.3'!M23+'Anlage 6.4'!M23</f>
        <v>5</v>
      </c>
      <c r="N23" s="337">
        <f>'Anlage 6.1'!N23+'Anlage 6.2'!N22+'Anlage 6.3'!N23+'Anlage 6.4'!N23</f>
        <v>1</v>
      </c>
      <c r="O23" s="319">
        <f>'Anlage 6.1'!O23+'Anlage 6.2'!O22+'Anlage 6.3'!O23+'Anlage 6.4'!O23</f>
        <v>6</v>
      </c>
    </row>
    <row r="24" spans="1:15" x14ac:dyDescent="0.25">
      <c r="A24" s="439" t="s">
        <v>32</v>
      </c>
      <c r="B24" s="234">
        <f>'Anlage 6.1'!B24+'Anlage 6.2'!B23+'Anlage 6.3'!B24+'Anlage 6.4'!B24</f>
        <v>0</v>
      </c>
      <c r="C24" s="234">
        <f>'Anlage 6.1'!C24+'Anlage 6.2'!C23+'Anlage 6.3'!C24+'Anlage 6.4'!C24</f>
        <v>0</v>
      </c>
      <c r="D24" s="234">
        <f>'Anlage 6.1'!D24+'Anlage 6.2'!D23+'Anlage 6.3'!D24+'Anlage 6.4'!D24</f>
        <v>2</v>
      </c>
      <c r="E24" s="432">
        <f>'Anlage 6.1'!E24+'Anlage 6.2'!E23+'Anlage 6.3'!E24+'Anlage 6.4'!E24</f>
        <v>1</v>
      </c>
      <c r="F24" s="328">
        <f>'Anlage 6.1'!F24+'Anlage 6.2'!F23+'Anlage 6.3'!F24+'Anlage 6.4'!F24</f>
        <v>3</v>
      </c>
      <c r="G24" s="433">
        <f>'Anlage 6.1'!G24+'Anlage 6.2'!G23+'Anlage 6.3'!G24+'Anlage 6.4'!G24</f>
        <v>2</v>
      </c>
      <c r="H24" s="328">
        <f>'Anlage 6.1'!H24+'Anlage 6.2'!H23+'Anlage 6.3'!H24+'Anlage 6.4'!H24</f>
        <v>5</v>
      </c>
      <c r="I24" s="223">
        <f>'Anlage 6.1'!I24+'Anlage 6.2'!I23+'Anlage 6.3'!I24+'Anlage 6.4'!I24</f>
        <v>12</v>
      </c>
      <c r="J24" s="234">
        <f>'Anlage 6.1'!J24+'Anlage 6.2'!J23+'Anlage 6.3'!J24+'Anlage 6.4'!J24</f>
        <v>0</v>
      </c>
      <c r="K24" s="234">
        <f>'Anlage 6.1'!K24+'Anlage 6.2'!K23+'Anlage 6.3'!K24+'Anlage 6.4'!K24</f>
        <v>0</v>
      </c>
      <c r="L24" s="432">
        <f>'Anlage 6.1'!L24+'Anlage 6.2'!L23+'Anlage 6.3'!L24+'Anlage 6.4'!L24</f>
        <v>5</v>
      </c>
      <c r="M24" s="328">
        <f>'Anlage 6.1'!M24+'Anlage 6.2'!M23+'Anlage 6.3'!M24+'Anlage 6.4'!M24</f>
        <v>22</v>
      </c>
      <c r="N24" s="433">
        <f>'Anlage 6.1'!N24+'Anlage 6.2'!N23+'Anlage 6.3'!N24+'Anlage 6.4'!N24</f>
        <v>1</v>
      </c>
      <c r="O24" s="328">
        <f>'Anlage 6.1'!O24+'Anlage 6.2'!O23+'Anlage 6.3'!O24+'Anlage 6.4'!O24</f>
        <v>23</v>
      </c>
    </row>
    <row r="25" spans="1:15" ht="14.25" thickBot="1" x14ac:dyDescent="0.3">
      <c r="A25" s="441" t="s">
        <v>33</v>
      </c>
      <c r="B25" s="264">
        <f>'Anlage 6.1'!B25+'Anlage 6.2'!B24+'Anlage 6.3'!B25+'Anlage 6.4'!B25</f>
        <v>0</v>
      </c>
      <c r="C25" s="264">
        <f>'Anlage 6.1'!C25+'Anlage 6.2'!C24+'Anlage 6.3'!C25+'Anlage 6.4'!C25</f>
        <v>0</v>
      </c>
      <c r="D25" s="264">
        <f>'Anlage 6.1'!D25+'Anlage 6.2'!D24+'Anlage 6.3'!D25+'Anlage 6.4'!D25</f>
        <v>6</v>
      </c>
      <c r="E25" s="437">
        <f>'Anlage 6.1'!E25+'Anlage 6.2'!E24+'Anlage 6.3'!E25+'Anlage 6.4'!E25</f>
        <v>1</v>
      </c>
      <c r="F25" s="400">
        <f>'Anlage 6.1'!F25+'Anlage 6.2'!F24+'Anlage 6.3'!F25+'Anlage 6.4'!F25</f>
        <v>7</v>
      </c>
      <c r="G25" s="438">
        <f>'Anlage 6.1'!G25+'Anlage 6.2'!G24+'Anlage 6.3'!G25+'Anlage 6.4'!G25</f>
        <v>0</v>
      </c>
      <c r="H25" s="400">
        <f>'Anlage 6.1'!H25+'Anlage 6.2'!H24+'Anlage 6.3'!H25+'Anlage 6.4'!H25</f>
        <v>7</v>
      </c>
      <c r="I25" s="254">
        <f>'Anlage 6.1'!I25+'Anlage 6.2'!I24+'Anlage 6.3'!I25+'Anlage 6.4'!I25</f>
        <v>2</v>
      </c>
      <c r="J25" s="264">
        <f>'Anlage 6.1'!J25+'Anlage 6.2'!J24+'Anlage 6.3'!J25+'Anlage 6.4'!J25</f>
        <v>0</v>
      </c>
      <c r="K25" s="264">
        <f>'Anlage 6.1'!K25+'Anlage 6.2'!K24+'Anlage 6.3'!K25+'Anlage 6.4'!K25</f>
        <v>0</v>
      </c>
      <c r="L25" s="437">
        <f>'Anlage 6.1'!L25+'Anlage 6.2'!L24+'Anlage 6.3'!L25+'Anlage 6.4'!L25</f>
        <v>0</v>
      </c>
      <c r="M25" s="400">
        <f>'Anlage 6.1'!M25+'Anlage 6.2'!M24+'Anlage 6.3'!M25+'Anlage 6.4'!M25</f>
        <v>9</v>
      </c>
      <c r="N25" s="438">
        <f>'Anlage 6.1'!N25+'Anlage 6.2'!N24+'Anlage 6.3'!N25+'Anlage 6.4'!N25</f>
        <v>1</v>
      </c>
      <c r="O25" s="400">
        <f>'Anlage 6.1'!O25+'Anlage 6.2'!O24+'Anlage 6.3'!O25+'Anlage 6.4'!O25</f>
        <v>10</v>
      </c>
    </row>
    <row r="26" spans="1:15" ht="14.25" thickBot="1" x14ac:dyDescent="0.3">
      <c r="A26" s="426" t="s">
        <v>34</v>
      </c>
      <c r="B26" s="258">
        <f>'Anlage 6.1'!B26+'Anlage 6.2'!B25+'Anlage 6.3'!B26+'Anlage 6.4'!B26</f>
        <v>0</v>
      </c>
      <c r="C26" s="258">
        <f>'Anlage 6.1'!C26+'Anlage 6.2'!C25+'Anlage 6.3'!C26+'Anlage 6.4'!C26</f>
        <v>0</v>
      </c>
      <c r="D26" s="258">
        <f>'Anlage 6.1'!D26+'Anlage 6.2'!D25+'Anlage 6.3'!D26+'Anlage 6.4'!D26</f>
        <v>8</v>
      </c>
      <c r="E26" s="333">
        <f>'Anlage 6.1'!E26+'Anlage 6.2'!E25+'Anlage 6.3'!E26+'Anlage 6.4'!E26</f>
        <v>2</v>
      </c>
      <c r="F26" s="403">
        <f>'Anlage 6.1'!F26+'Anlage 6.2'!F25+'Anlage 6.3'!F26+'Anlage 6.4'!F26</f>
        <v>10</v>
      </c>
      <c r="G26" s="404">
        <f>'Anlage 6.1'!G26+'Anlage 6.2'!G25+'Anlage 6.3'!G26+'Anlage 6.4'!G26</f>
        <v>2</v>
      </c>
      <c r="H26" s="403">
        <f>'Anlage 6.1'!H26+'Anlage 6.2'!H25+'Anlage 6.3'!H26+'Anlage 6.4'!H26</f>
        <v>12</v>
      </c>
      <c r="I26" s="405">
        <f>'Anlage 6.1'!I26+'Anlage 6.2'!I25+'Anlage 6.3'!I26+'Anlage 6.4'!I26</f>
        <v>14</v>
      </c>
      <c r="J26" s="258">
        <f>'Anlage 6.1'!J26+'Anlage 6.2'!J25+'Anlage 6.3'!J26+'Anlage 6.4'!J26</f>
        <v>0</v>
      </c>
      <c r="K26" s="258">
        <f>'Anlage 6.1'!K26+'Anlage 6.2'!K25+'Anlage 6.3'!K26+'Anlage 6.4'!K26</f>
        <v>0</v>
      </c>
      <c r="L26" s="333">
        <f>'Anlage 6.1'!L26+'Anlage 6.2'!L25+'Anlage 6.3'!L26+'Anlage 6.4'!L26</f>
        <v>5</v>
      </c>
      <c r="M26" s="403">
        <f>'Anlage 6.1'!M26+'Anlage 6.2'!M25+'Anlage 6.3'!M26+'Anlage 6.4'!M26</f>
        <v>31</v>
      </c>
      <c r="N26" s="404">
        <f>'Anlage 6.1'!N26+'Anlage 6.2'!N25+'Anlage 6.3'!N26+'Anlage 6.4'!N26</f>
        <v>2</v>
      </c>
      <c r="O26" s="403">
        <f>'Anlage 6.1'!O26+'Anlage 6.2'!O25+'Anlage 6.3'!O26+'Anlage 6.4'!O26</f>
        <v>33</v>
      </c>
    </row>
    <row r="27" spans="1:15" ht="14.25" thickBot="1" x14ac:dyDescent="0.3">
      <c r="A27" s="314" t="s">
        <v>189</v>
      </c>
      <c r="B27" s="184">
        <f>'Anlage 6.1'!B27+'Anlage 6.2'!B26+'Anlage 6.3'!B27+'Anlage 6.4'!B27</f>
        <v>34</v>
      </c>
      <c r="C27" s="184">
        <f>'Anlage 6.1'!C27+'Anlage 6.2'!C26+'Anlage 6.3'!C27+'Anlage 6.4'!C27</f>
        <v>5</v>
      </c>
      <c r="D27" s="184">
        <f>'Anlage 6.1'!D27+'Anlage 6.2'!D26+'Anlage 6.3'!D27+'Anlage 6.4'!D27</f>
        <v>13</v>
      </c>
      <c r="E27" s="249">
        <f>'Anlage 6.1'!E27+'Anlage 6.2'!E26+'Anlage 6.3'!E27+'Anlage 6.4'!E27</f>
        <v>3</v>
      </c>
      <c r="F27" s="319">
        <f>'Anlage 6.1'!F27+'Anlage 6.2'!F26+'Anlage 6.3'!F27+'Anlage 6.4'!F27</f>
        <v>55</v>
      </c>
      <c r="G27" s="337">
        <f>'Anlage 6.1'!G27+'Anlage 6.2'!G26+'Anlage 6.3'!G27+'Anlage 6.4'!G27</f>
        <v>6</v>
      </c>
      <c r="H27" s="319">
        <f>'Anlage 6.1'!H27+'Anlage 6.2'!H26+'Anlage 6.3'!H27+'Anlage 6.4'!H27</f>
        <v>61</v>
      </c>
      <c r="I27" s="204">
        <f>'Anlage 6.1'!I27+'Anlage 6.2'!I26+'Anlage 6.3'!I27+'Anlage 6.4'!I27</f>
        <v>20</v>
      </c>
      <c r="J27" s="184">
        <f>'Anlage 6.1'!J27+'Anlage 6.2'!J26+'Anlage 6.3'!J27+'Anlage 6.4'!J27</f>
        <v>1</v>
      </c>
      <c r="K27" s="184">
        <f>'Anlage 6.1'!K27+'Anlage 6.2'!K26+'Anlage 6.3'!K27+'Anlage 6.4'!K27</f>
        <v>1</v>
      </c>
      <c r="L27" s="249">
        <f>'Anlage 6.1'!L27+'Anlage 6.2'!L26+'Anlage 6.3'!L27+'Anlage 6.4'!L27</f>
        <v>6</v>
      </c>
      <c r="M27" s="319">
        <f>'Anlage 6.1'!M27+'Anlage 6.2'!M26+'Anlage 6.3'!M27+'Anlage 6.4'!M27</f>
        <v>89</v>
      </c>
      <c r="N27" s="337">
        <f>'Anlage 6.1'!N27+'Anlage 6.2'!N26+'Anlage 6.3'!N27+'Anlage 6.4'!N27</f>
        <v>4</v>
      </c>
      <c r="O27" s="319">
        <f>'Anlage 6.1'!O27+'Anlage 6.2'!O26+'Anlage 6.3'!O27+'Anlage 6.4'!O27</f>
        <v>93</v>
      </c>
    </row>
    <row r="28" spans="1:15" ht="14.25" hidden="1" thickBot="1" x14ac:dyDescent="0.3">
      <c r="A28" s="798" t="s">
        <v>206</v>
      </c>
      <c r="B28" s="807"/>
      <c r="C28" s="807"/>
      <c r="D28" s="807"/>
      <c r="E28" s="808"/>
      <c r="F28" s="796"/>
      <c r="G28" s="809"/>
      <c r="H28" s="796"/>
      <c r="I28" s="810"/>
      <c r="J28" s="807"/>
      <c r="K28" s="807"/>
      <c r="L28" s="808"/>
      <c r="M28" s="796"/>
      <c r="N28" s="809"/>
      <c r="O28" s="796"/>
    </row>
    <row r="29" spans="1:15" ht="14.25" thickBot="1" x14ac:dyDescent="0.3">
      <c r="A29" s="187" t="s">
        <v>207</v>
      </c>
      <c r="B29" s="184">
        <f>'Anlage 6.1'!B29+'Anlage 6.2'!B28+'Anlage 6.3'!B29+'Anlage 6.4'!B29</f>
        <v>34</v>
      </c>
      <c r="C29" s="184">
        <f>'Anlage 6.1'!C29+'Anlage 6.2'!C28+'Anlage 6.3'!C29+'Anlage 6.4'!C29</f>
        <v>5</v>
      </c>
      <c r="D29" s="184">
        <f>'Anlage 6.1'!D29+'Anlage 6.2'!D28+'Anlage 6.3'!D29+'Anlage 6.4'!D29</f>
        <v>13</v>
      </c>
      <c r="E29" s="249">
        <f>'Anlage 6.1'!E29+'Anlage 6.2'!E28+'Anlage 6.3'!E29+'Anlage 6.4'!E29</f>
        <v>3</v>
      </c>
      <c r="F29" s="319">
        <f>'Anlage 6.1'!F29+'Anlage 6.2'!F28+'Anlage 6.3'!F29+'Anlage 6.4'!F29</f>
        <v>55</v>
      </c>
      <c r="G29" s="337">
        <f>'Anlage 6.1'!G29+'Anlage 6.2'!G28+'Anlage 6.3'!G29+'Anlage 6.4'!G29</f>
        <v>6</v>
      </c>
      <c r="H29" s="319">
        <f>'Anlage 6.1'!H29+'Anlage 6.2'!H28+'Anlage 6.3'!H29+'Anlage 6.4'!H29</f>
        <v>61</v>
      </c>
      <c r="I29" s="204">
        <f>'Anlage 6.1'!I29+'Anlage 6.2'!I28+'Anlage 6.3'!I29+'Anlage 6.4'!I29</f>
        <v>20</v>
      </c>
      <c r="J29" s="184">
        <f>'Anlage 6.1'!J29+'Anlage 6.2'!J28+'Anlage 6.3'!J29+'Anlage 6.4'!J29</f>
        <v>1</v>
      </c>
      <c r="K29" s="184">
        <f>'Anlage 6.1'!K29+'Anlage 6.2'!K28+'Anlage 6.3'!K29+'Anlage 6.4'!K29</f>
        <v>1</v>
      </c>
      <c r="L29" s="249">
        <f>'Anlage 6.1'!L29+'Anlage 6.2'!L28+'Anlage 6.3'!L29+'Anlage 6.4'!L29</f>
        <v>6</v>
      </c>
      <c r="M29" s="319">
        <f>'Anlage 6.1'!M29+'Anlage 6.2'!M28+'Anlage 6.3'!M29+'Anlage 6.4'!M29</f>
        <v>89</v>
      </c>
      <c r="N29" s="337">
        <f>'Anlage 6.1'!N29+'Anlage 6.2'!N28+'Anlage 6.3'!N29+'Anlage 6.4'!N29</f>
        <v>4</v>
      </c>
      <c r="O29" s="319">
        <f>'Anlage 6.1'!O29+'Anlage 6.2'!O28+'Anlage 6.3'!O29+'Anlage 6.4'!O29</f>
        <v>93</v>
      </c>
    </row>
    <row r="30" spans="1:15" ht="14.25" thickBot="1" x14ac:dyDescent="0.3">
      <c r="N30" s="291"/>
    </row>
    <row r="31" spans="1:15" ht="14.25" thickBot="1" x14ac:dyDescent="0.3">
      <c r="A31" s="314">
        <f>O29</f>
        <v>93</v>
      </c>
      <c r="B31" s="406" t="s">
        <v>116</v>
      </c>
      <c r="C31" s="406"/>
      <c r="D31" s="407"/>
      <c r="E31" s="408">
        <f>'Anlage 1a'!L45</f>
        <v>3536</v>
      </c>
      <c r="F31" s="406" t="s">
        <v>117</v>
      </c>
      <c r="G31" s="407"/>
      <c r="H31" s="409" t="s">
        <v>118</v>
      </c>
      <c r="I31" s="406"/>
      <c r="J31" s="406"/>
      <c r="K31" s="406"/>
      <c r="L31" s="406"/>
      <c r="M31" s="406"/>
      <c r="N31" s="410">
        <f>A31/E31*100</f>
        <v>2.6300904977375565</v>
      </c>
      <c r="O31" s="320" t="s">
        <v>50</v>
      </c>
    </row>
  </sheetData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89" orientation="landscape" verticalDpi="300" r:id="rId1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view="pageLayout" zoomScaleNormal="110" zoomScaleSheetLayoutView="100" workbookViewId="0">
      <selection activeCell="O18" sqref="O18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100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101</v>
      </c>
      <c r="B5" s="412" t="s">
        <v>102</v>
      </c>
      <c r="C5" s="412" t="s">
        <v>103</v>
      </c>
      <c r="D5" s="412" t="s">
        <v>104</v>
      </c>
      <c r="E5" s="413" t="s">
        <v>105</v>
      </c>
      <c r="F5" s="414" t="s">
        <v>106</v>
      </c>
      <c r="G5" s="415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4.25" thickBot="1" x14ac:dyDescent="0.3">
      <c r="A6" s="446" t="s">
        <v>36</v>
      </c>
      <c r="B6" s="197">
        <v>0</v>
      </c>
      <c r="C6" s="197">
        <v>0</v>
      </c>
      <c r="D6" s="197">
        <v>0</v>
      </c>
      <c r="E6" s="395">
        <v>0</v>
      </c>
      <c r="F6" s="317">
        <f>SUM(B6:E6)</f>
        <v>0</v>
      </c>
      <c r="G6" s="197">
        <v>1</v>
      </c>
      <c r="H6" s="282">
        <f>SUM(F6:G6)</f>
        <v>1</v>
      </c>
      <c r="I6" s="197">
        <v>0</v>
      </c>
      <c r="J6" s="197">
        <v>0</v>
      </c>
      <c r="K6" s="197">
        <v>0</v>
      </c>
      <c r="L6" s="197">
        <v>0</v>
      </c>
      <c r="M6" s="335">
        <f>SUM(H6,I6,J6,K6,L6)</f>
        <v>1</v>
      </c>
      <c r="N6" s="150">
        <v>0</v>
      </c>
      <c r="O6" s="335">
        <f>SUM(M6,N6)</f>
        <v>1</v>
      </c>
    </row>
    <row r="7" spans="1:17" s="123" customFormat="1" ht="20.100000000000001" customHeight="1" thickBot="1" x14ac:dyDescent="0.3">
      <c r="A7" s="339" t="s">
        <v>38</v>
      </c>
      <c r="B7" s="204">
        <f t="shared" ref="B7:G7" si="0">SUM(B6:B6)</f>
        <v>0</v>
      </c>
      <c r="C7" s="184">
        <f t="shared" si="0"/>
        <v>0</v>
      </c>
      <c r="D7" s="184">
        <f t="shared" si="0"/>
        <v>0</v>
      </c>
      <c r="E7" s="249">
        <f t="shared" si="0"/>
        <v>0</v>
      </c>
      <c r="F7" s="319">
        <f>SUM(F6:F6)</f>
        <v>0</v>
      </c>
      <c r="G7" s="337">
        <f t="shared" si="0"/>
        <v>1</v>
      </c>
      <c r="H7" s="184">
        <f t="shared" ref="H7:H20" si="1">SUM(F7:G7)</f>
        <v>1</v>
      </c>
      <c r="I7" s="204">
        <f t="shared" ref="I7:O7" si="2">SUM(I6:I6)</f>
        <v>0</v>
      </c>
      <c r="J7" s="184">
        <f t="shared" si="2"/>
        <v>0</v>
      </c>
      <c r="K7" s="184">
        <f t="shared" si="2"/>
        <v>0</v>
      </c>
      <c r="L7" s="184">
        <f t="shared" si="2"/>
        <v>0</v>
      </c>
      <c r="M7" s="319">
        <f t="shared" si="2"/>
        <v>1</v>
      </c>
      <c r="N7" s="184">
        <f t="shared" si="2"/>
        <v>0</v>
      </c>
      <c r="O7" s="319">
        <f t="shared" si="2"/>
        <v>1</v>
      </c>
    </row>
    <row r="8" spans="1:17" s="123" customFormat="1" ht="14.25" thickBot="1" x14ac:dyDescent="0.3">
      <c r="A8" s="205" t="s">
        <v>56</v>
      </c>
      <c r="B8" s="214">
        <v>10</v>
      </c>
      <c r="C8" s="214">
        <v>2</v>
      </c>
      <c r="D8" s="216">
        <v>4</v>
      </c>
      <c r="E8" s="447">
        <v>8</v>
      </c>
      <c r="F8" s="317">
        <f>SUM(B8:E8)</f>
        <v>24</v>
      </c>
      <c r="G8" s="214">
        <v>0</v>
      </c>
      <c r="H8" s="282">
        <f t="shared" si="1"/>
        <v>24</v>
      </c>
      <c r="I8" s="214">
        <v>2</v>
      </c>
      <c r="J8" s="214">
        <v>2</v>
      </c>
      <c r="K8" s="214">
        <v>0</v>
      </c>
      <c r="L8" s="214">
        <v>0</v>
      </c>
      <c r="M8" s="398">
        <f>SUM(H8,I8,J8,K8,L8)</f>
        <v>28</v>
      </c>
      <c r="N8" s="216">
        <v>0</v>
      </c>
      <c r="O8" s="398">
        <f>SUM(M8,N8)</f>
        <v>28</v>
      </c>
    </row>
    <row r="9" spans="1:17" s="123" customFormat="1" ht="14.25" hidden="1" thickBot="1" x14ac:dyDescent="0.3">
      <c r="A9" s="662" t="s">
        <v>177</v>
      </c>
      <c r="B9" s="669"/>
      <c r="C9" s="669"/>
      <c r="D9" s="669"/>
      <c r="E9" s="816"/>
      <c r="F9" s="789"/>
      <c r="G9" s="669"/>
      <c r="H9" s="667"/>
      <c r="I9" s="669"/>
      <c r="J9" s="669"/>
      <c r="K9" s="669"/>
      <c r="L9" s="671"/>
      <c r="M9" s="817"/>
      <c r="N9" s="671"/>
      <c r="O9" s="817"/>
    </row>
    <row r="10" spans="1:17" s="123" customFormat="1" ht="20.100000000000001" customHeight="1" thickBot="1" x14ac:dyDescent="0.3">
      <c r="A10" s="318" t="s">
        <v>55</v>
      </c>
      <c r="B10" s="204">
        <f t="shared" ref="B10:G10" si="3">SUM(B8:B9)</f>
        <v>10</v>
      </c>
      <c r="C10" s="184">
        <f t="shared" si="3"/>
        <v>2</v>
      </c>
      <c r="D10" s="184">
        <f t="shared" si="3"/>
        <v>4</v>
      </c>
      <c r="E10" s="249">
        <f t="shared" si="3"/>
        <v>8</v>
      </c>
      <c r="F10" s="319">
        <f t="shared" si="3"/>
        <v>24</v>
      </c>
      <c r="G10" s="337">
        <f t="shared" si="3"/>
        <v>0</v>
      </c>
      <c r="H10" s="184">
        <f>SUM(F10:G10)</f>
        <v>24</v>
      </c>
      <c r="I10" s="204">
        <f t="shared" ref="I10:O10" si="4">SUM(I8:I9)</f>
        <v>2</v>
      </c>
      <c r="J10" s="184">
        <f t="shared" si="4"/>
        <v>2</v>
      </c>
      <c r="K10" s="184">
        <f t="shared" si="4"/>
        <v>0</v>
      </c>
      <c r="L10" s="184">
        <f t="shared" si="4"/>
        <v>0</v>
      </c>
      <c r="M10" s="319">
        <f t="shared" si="4"/>
        <v>28</v>
      </c>
      <c r="N10" s="184">
        <f t="shared" si="4"/>
        <v>0</v>
      </c>
      <c r="O10" s="319">
        <f t="shared" si="4"/>
        <v>28</v>
      </c>
    </row>
    <row r="11" spans="1:17" x14ac:dyDescent="0.25">
      <c r="A11" s="448" t="s">
        <v>39</v>
      </c>
      <c r="B11" s="214">
        <v>0</v>
      </c>
      <c r="C11" s="216">
        <v>0</v>
      </c>
      <c r="D11" s="216">
        <v>0</v>
      </c>
      <c r="E11" s="421">
        <v>0</v>
      </c>
      <c r="F11" s="317">
        <f>SUM(B11:E11)</f>
        <v>0</v>
      </c>
      <c r="G11" s="447">
        <v>1</v>
      </c>
      <c r="H11" s="282">
        <f t="shared" si="1"/>
        <v>1</v>
      </c>
      <c r="I11" s="214">
        <v>1</v>
      </c>
      <c r="J11" s="216">
        <v>0</v>
      </c>
      <c r="K11" s="216">
        <v>0</v>
      </c>
      <c r="L11" s="216">
        <v>0</v>
      </c>
      <c r="M11" s="398">
        <f>SUM(H11,I11,J11,K11,L11)</f>
        <v>2</v>
      </c>
      <c r="N11" s="216">
        <v>0</v>
      </c>
      <c r="O11" s="398">
        <f>SUM(M11,N11)</f>
        <v>2</v>
      </c>
    </row>
    <row r="12" spans="1:17" x14ac:dyDescent="0.25">
      <c r="A12" s="331" t="s">
        <v>40</v>
      </c>
      <c r="B12" s="197">
        <v>1</v>
      </c>
      <c r="C12" s="150">
        <v>9</v>
      </c>
      <c r="D12" s="150">
        <v>5</v>
      </c>
      <c r="E12" s="332">
        <v>2</v>
      </c>
      <c r="F12" s="317">
        <f>SUM(B12:E12)</f>
        <v>17</v>
      </c>
      <c r="G12" s="395">
        <v>1</v>
      </c>
      <c r="H12" s="161">
        <f t="shared" si="1"/>
        <v>18</v>
      </c>
      <c r="I12" s="197">
        <v>3</v>
      </c>
      <c r="J12" s="150">
        <v>1</v>
      </c>
      <c r="K12" s="150">
        <v>0</v>
      </c>
      <c r="L12" s="150">
        <v>0</v>
      </c>
      <c r="M12" s="335">
        <f>SUM(H12,I12,J12,K12,L12)</f>
        <v>22</v>
      </c>
      <c r="N12" s="150">
        <v>5</v>
      </c>
      <c r="O12" s="335">
        <f>SUM(M12,N12)</f>
        <v>27</v>
      </c>
    </row>
    <row r="13" spans="1:17" x14ac:dyDescent="0.25">
      <c r="A13" s="331" t="s">
        <v>41</v>
      </c>
      <c r="B13" s="197">
        <v>1</v>
      </c>
      <c r="C13" s="150">
        <v>0</v>
      </c>
      <c r="D13" s="150">
        <v>11</v>
      </c>
      <c r="E13" s="332">
        <v>0</v>
      </c>
      <c r="F13" s="317">
        <f>SUM(B13:E13)</f>
        <v>12</v>
      </c>
      <c r="G13" s="395">
        <v>0</v>
      </c>
      <c r="H13" s="161">
        <f t="shared" si="1"/>
        <v>12</v>
      </c>
      <c r="I13" s="197">
        <v>1</v>
      </c>
      <c r="J13" s="150">
        <v>0</v>
      </c>
      <c r="K13" s="150">
        <v>0</v>
      </c>
      <c r="L13" s="150">
        <v>0</v>
      </c>
      <c r="M13" s="335">
        <f>SUM(H13,I13,J13,K13,L13)</f>
        <v>13</v>
      </c>
      <c r="N13" s="150">
        <v>2</v>
      </c>
      <c r="O13" s="335">
        <f>SUM(M13,N13)</f>
        <v>15</v>
      </c>
    </row>
    <row r="14" spans="1:17" ht="14.25" thickBot="1" x14ac:dyDescent="0.3">
      <c r="A14" s="449" t="s">
        <v>42</v>
      </c>
      <c r="B14" s="225">
        <v>0</v>
      </c>
      <c r="C14" s="227">
        <v>3</v>
      </c>
      <c r="D14" s="227">
        <v>0</v>
      </c>
      <c r="E14" s="336">
        <v>0</v>
      </c>
      <c r="F14" s="317">
        <f>SUM(B14:E14)</f>
        <v>3</v>
      </c>
      <c r="G14" s="402">
        <v>0</v>
      </c>
      <c r="H14" s="285">
        <f t="shared" si="1"/>
        <v>3</v>
      </c>
      <c r="I14" s="225">
        <v>1</v>
      </c>
      <c r="J14" s="227">
        <v>2</v>
      </c>
      <c r="K14" s="227">
        <v>4</v>
      </c>
      <c r="L14" s="227">
        <v>0</v>
      </c>
      <c r="M14" s="397">
        <f>SUM(H14,I14,J14,K14,L14)</f>
        <v>10</v>
      </c>
      <c r="N14" s="227">
        <v>0</v>
      </c>
      <c r="O14" s="397">
        <f>SUM(M14,N14)</f>
        <v>10</v>
      </c>
    </row>
    <row r="15" spans="1:17" s="123" customFormat="1" ht="20.100000000000001" customHeight="1" thickBot="1" x14ac:dyDescent="0.3">
      <c r="A15" s="339" t="s">
        <v>43</v>
      </c>
      <c r="B15" s="204">
        <f t="shared" ref="B15:G15" si="5">SUM(B11:B14)</f>
        <v>2</v>
      </c>
      <c r="C15" s="184">
        <f t="shared" si="5"/>
        <v>12</v>
      </c>
      <c r="D15" s="184">
        <f t="shared" si="5"/>
        <v>16</v>
      </c>
      <c r="E15" s="249">
        <f t="shared" si="5"/>
        <v>2</v>
      </c>
      <c r="F15" s="319">
        <f t="shared" si="5"/>
        <v>32</v>
      </c>
      <c r="G15" s="337">
        <f t="shared" si="5"/>
        <v>2</v>
      </c>
      <c r="H15" s="184">
        <f t="shared" si="1"/>
        <v>34</v>
      </c>
      <c r="I15" s="204">
        <f t="shared" ref="I15:O15" si="6">SUM(I11:I14)</f>
        <v>6</v>
      </c>
      <c r="J15" s="184">
        <f t="shared" si="6"/>
        <v>3</v>
      </c>
      <c r="K15" s="184">
        <f t="shared" si="6"/>
        <v>4</v>
      </c>
      <c r="L15" s="184">
        <f t="shared" si="6"/>
        <v>0</v>
      </c>
      <c r="M15" s="319">
        <f t="shared" si="6"/>
        <v>47</v>
      </c>
      <c r="N15" s="184">
        <f t="shared" si="6"/>
        <v>7</v>
      </c>
      <c r="O15" s="319">
        <f t="shared" si="6"/>
        <v>54</v>
      </c>
    </row>
    <row r="16" spans="1:17" x14ac:dyDescent="0.25">
      <c r="A16" s="448" t="s">
        <v>44</v>
      </c>
      <c r="B16" s="214">
        <v>0</v>
      </c>
      <c r="C16" s="216">
        <v>0</v>
      </c>
      <c r="D16" s="216">
        <v>0</v>
      </c>
      <c r="E16" s="421">
        <v>0</v>
      </c>
      <c r="F16" s="317">
        <f>SUM(B16:E16)</f>
        <v>0</v>
      </c>
      <c r="G16" s="447">
        <v>0</v>
      </c>
      <c r="H16" s="282">
        <f t="shared" si="1"/>
        <v>0</v>
      </c>
      <c r="I16" s="214">
        <v>0</v>
      </c>
      <c r="J16" s="216">
        <v>0</v>
      </c>
      <c r="K16" s="216">
        <v>0</v>
      </c>
      <c r="L16" s="216">
        <v>0</v>
      </c>
      <c r="M16" s="398">
        <f>SUM(H16,I16,J16,K16,L16)</f>
        <v>0</v>
      </c>
      <c r="N16" s="216">
        <v>0</v>
      </c>
      <c r="O16" s="398">
        <f>SUM(M16,N16)</f>
        <v>0</v>
      </c>
    </row>
    <row r="17" spans="1:15" x14ac:dyDescent="0.25">
      <c r="A17" s="331" t="s">
        <v>52</v>
      </c>
      <c r="B17" s="197">
        <v>0</v>
      </c>
      <c r="C17" s="197">
        <v>0</v>
      </c>
      <c r="D17" s="197">
        <v>0</v>
      </c>
      <c r="E17" s="395">
        <v>0</v>
      </c>
      <c r="F17" s="317">
        <f>SUM(B17:E17)</f>
        <v>0</v>
      </c>
      <c r="G17" s="197">
        <v>0</v>
      </c>
      <c r="H17" s="161">
        <f t="shared" si="1"/>
        <v>0</v>
      </c>
      <c r="I17" s="197">
        <v>0</v>
      </c>
      <c r="J17" s="150">
        <v>0</v>
      </c>
      <c r="K17" s="150">
        <v>1</v>
      </c>
      <c r="L17" s="150">
        <v>0</v>
      </c>
      <c r="M17" s="335">
        <f>SUM(H17,I17,J17,K17,L17)</f>
        <v>1</v>
      </c>
      <c r="N17" s="150">
        <v>0</v>
      </c>
      <c r="O17" s="335">
        <f>SUM(M17,N17)</f>
        <v>1</v>
      </c>
    </row>
    <row r="18" spans="1:15" ht="14.25" thickBot="1" x14ac:dyDescent="0.3">
      <c r="A18" s="449" t="s">
        <v>45</v>
      </c>
      <c r="B18" s="225">
        <v>1</v>
      </c>
      <c r="C18" s="227">
        <v>2</v>
      </c>
      <c r="D18" s="227">
        <v>2</v>
      </c>
      <c r="E18" s="336">
        <v>0</v>
      </c>
      <c r="F18" s="317">
        <f>SUM(B18:E18)</f>
        <v>5</v>
      </c>
      <c r="G18" s="402">
        <v>0</v>
      </c>
      <c r="H18" s="285">
        <f t="shared" si="1"/>
        <v>5</v>
      </c>
      <c r="I18" s="225">
        <v>1</v>
      </c>
      <c r="J18" s="227">
        <v>0</v>
      </c>
      <c r="K18" s="227">
        <v>0</v>
      </c>
      <c r="L18" s="227">
        <v>0</v>
      </c>
      <c r="M18" s="397">
        <f>SUM(H18,I18,J18,K18,L18)</f>
        <v>6</v>
      </c>
      <c r="N18" s="227">
        <v>0</v>
      </c>
      <c r="O18" s="397">
        <f>SUM(M18,N18)</f>
        <v>6</v>
      </c>
    </row>
    <row r="19" spans="1:15" s="123" customFormat="1" ht="20.100000000000001" customHeight="1" thickBot="1" x14ac:dyDescent="0.3">
      <c r="A19" s="339" t="s">
        <v>46</v>
      </c>
      <c r="B19" s="204">
        <f t="shared" ref="B19:G19" si="7">SUM(B16:B18)</f>
        <v>1</v>
      </c>
      <c r="C19" s="184">
        <f t="shared" si="7"/>
        <v>2</v>
      </c>
      <c r="D19" s="184">
        <f t="shared" si="7"/>
        <v>2</v>
      </c>
      <c r="E19" s="249">
        <f t="shared" si="7"/>
        <v>0</v>
      </c>
      <c r="F19" s="319">
        <f t="shared" si="7"/>
        <v>5</v>
      </c>
      <c r="G19" s="337">
        <f t="shared" si="7"/>
        <v>0</v>
      </c>
      <c r="H19" s="184">
        <f t="shared" si="1"/>
        <v>5</v>
      </c>
      <c r="I19" s="204">
        <f t="shared" ref="I19:O19" si="8">SUM(I16:I18)</f>
        <v>1</v>
      </c>
      <c r="J19" s="184">
        <f t="shared" si="8"/>
        <v>0</v>
      </c>
      <c r="K19" s="184">
        <f t="shared" si="8"/>
        <v>1</v>
      </c>
      <c r="L19" s="184">
        <f t="shared" si="8"/>
        <v>0</v>
      </c>
      <c r="M19" s="319">
        <f t="shared" si="8"/>
        <v>7</v>
      </c>
      <c r="N19" s="184">
        <f t="shared" si="8"/>
        <v>0</v>
      </c>
      <c r="O19" s="319">
        <f t="shared" si="8"/>
        <v>7</v>
      </c>
    </row>
    <row r="20" spans="1:15" s="123" customFormat="1" ht="20.100000000000001" customHeight="1" thickBot="1" x14ac:dyDescent="0.3">
      <c r="A20" s="339" t="s">
        <v>47</v>
      </c>
      <c r="B20" s="187">
        <f t="shared" ref="B20:G20" si="9">SUM(B7,B10,B15,B19)</f>
        <v>13</v>
      </c>
      <c r="C20" s="184">
        <f t="shared" si="9"/>
        <v>16</v>
      </c>
      <c r="D20" s="184">
        <f t="shared" si="9"/>
        <v>22</v>
      </c>
      <c r="E20" s="249">
        <f t="shared" si="9"/>
        <v>10</v>
      </c>
      <c r="F20" s="319">
        <f t="shared" si="9"/>
        <v>61</v>
      </c>
      <c r="G20" s="337">
        <f t="shared" si="9"/>
        <v>3</v>
      </c>
      <c r="H20" s="184">
        <f t="shared" si="1"/>
        <v>64</v>
      </c>
      <c r="I20" s="204">
        <f t="shared" ref="I20:O20" si="10">SUM(I7,I10,I15,I19)</f>
        <v>9</v>
      </c>
      <c r="J20" s="184">
        <f t="shared" si="10"/>
        <v>5</v>
      </c>
      <c r="K20" s="184">
        <f t="shared" si="10"/>
        <v>5</v>
      </c>
      <c r="L20" s="250">
        <f t="shared" si="10"/>
        <v>0</v>
      </c>
      <c r="M20" s="319">
        <f t="shared" si="10"/>
        <v>83</v>
      </c>
      <c r="N20" s="184">
        <f t="shared" si="10"/>
        <v>7</v>
      </c>
      <c r="O20" s="319">
        <f t="shared" si="10"/>
        <v>90</v>
      </c>
    </row>
    <row r="21" spans="1:15" hidden="1" x14ac:dyDescent="0.25">
      <c r="A21" s="811" t="s">
        <v>206</v>
      </c>
      <c r="B21" s="797"/>
      <c r="C21" s="812"/>
      <c r="D21" s="812"/>
      <c r="E21" s="813"/>
      <c r="F21" s="814"/>
      <c r="G21" s="815"/>
      <c r="H21" s="814"/>
      <c r="I21" s="797"/>
      <c r="J21" s="812"/>
      <c r="K21" s="812"/>
      <c r="L21" s="813"/>
      <c r="M21" s="814"/>
      <c r="N21" s="815"/>
      <c r="O21" s="814"/>
    </row>
    <row r="22" spans="1:15" ht="14.25" thickBot="1" x14ac:dyDescent="0.3">
      <c r="A22" s="451" t="s">
        <v>294</v>
      </c>
      <c r="B22" s="452">
        <f>B20+B21</f>
        <v>13</v>
      </c>
      <c r="C22" s="452">
        <f t="shared" ref="C22:O22" si="11">C20+C21</f>
        <v>16</v>
      </c>
      <c r="D22" s="452">
        <f t="shared" si="11"/>
        <v>22</v>
      </c>
      <c r="E22" s="453">
        <f t="shared" si="11"/>
        <v>10</v>
      </c>
      <c r="F22" s="321">
        <f t="shared" si="11"/>
        <v>61</v>
      </c>
      <c r="G22" s="453">
        <f t="shared" si="11"/>
        <v>3</v>
      </c>
      <c r="H22" s="321">
        <f t="shared" si="11"/>
        <v>64</v>
      </c>
      <c r="I22" s="452">
        <f t="shared" si="11"/>
        <v>9</v>
      </c>
      <c r="J22" s="452">
        <f t="shared" si="11"/>
        <v>5</v>
      </c>
      <c r="K22" s="452">
        <f t="shared" si="11"/>
        <v>5</v>
      </c>
      <c r="L22" s="453">
        <f t="shared" si="11"/>
        <v>0</v>
      </c>
      <c r="M22" s="321">
        <f t="shared" si="11"/>
        <v>83</v>
      </c>
      <c r="N22" s="453">
        <f t="shared" si="11"/>
        <v>7</v>
      </c>
      <c r="O22" s="321">
        <f t="shared" si="11"/>
        <v>90</v>
      </c>
    </row>
    <row r="23" spans="1:15" ht="14.25" thickBot="1" x14ac:dyDescent="0.3">
      <c r="H23" s="123"/>
    </row>
    <row r="24" spans="1:15" ht="14.25" thickBot="1" x14ac:dyDescent="0.3">
      <c r="A24" s="314">
        <f>O22</f>
        <v>90</v>
      </c>
      <c r="B24" s="406" t="s">
        <v>116</v>
      </c>
      <c r="C24" s="406"/>
      <c r="D24" s="407"/>
      <c r="E24" s="454">
        <f>'Anlage 1a'!N45</f>
        <v>909</v>
      </c>
      <c r="F24" s="406" t="s">
        <v>117</v>
      </c>
      <c r="G24" s="407"/>
      <c r="H24" s="406" t="s">
        <v>118</v>
      </c>
      <c r="I24" s="406"/>
      <c r="J24" s="406"/>
      <c r="K24" s="406"/>
      <c r="L24" s="406"/>
      <c r="M24" s="406"/>
      <c r="N24" s="410">
        <f>A24/E24*100</f>
        <v>9.9009900990099009</v>
      </c>
      <c r="O24" s="320" t="s">
        <v>50</v>
      </c>
    </row>
    <row r="49" ht="16.5" customHeight="1" x14ac:dyDescent="0.25"/>
  </sheetData>
  <customSheetViews>
    <customSheetView guid="{0224233B-564D-4BBC-A6B2-E639E6D2CFB3}" showPageBreaks="1" hiddenRow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view="pageLayout" zoomScaleNormal="120" zoomScaleSheetLayoutView="100" workbookViewId="0">
      <selection activeCell="O18" sqref="O18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119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120</v>
      </c>
      <c r="B5" s="412" t="s">
        <v>102</v>
      </c>
      <c r="C5" s="412" t="s">
        <v>103</v>
      </c>
      <c r="D5" s="412" t="s">
        <v>104</v>
      </c>
      <c r="E5" s="412" t="s">
        <v>105</v>
      </c>
      <c r="F5" s="414" t="s">
        <v>106</v>
      </c>
      <c r="G5" s="412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6.5" customHeight="1" thickBot="1" x14ac:dyDescent="0.3">
      <c r="A6" s="446" t="s">
        <v>36</v>
      </c>
      <c r="B6" s="197">
        <v>2</v>
      </c>
      <c r="C6" s="197">
        <v>0</v>
      </c>
      <c r="D6" s="197">
        <v>1</v>
      </c>
      <c r="E6" s="197">
        <v>0</v>
      </c>
      <c r="F6" s="317">
        <f>SUM(B6:E6)</f>
        <v>3</v>
      </c>
      <c r="G6" s="150">
        <v>0</v>
      </c>
      <c r="H6" s="282">
        <f t="shared" ref="H6:H20" si="0">SUM(F6:G6)</f>
        <v>3</v>
      </c>
      <c r="I6" s="150">
        <v>0</v>
      </c>
      <c r="J6" s="150">
        <v>0</v>
      </c>
      <c r="K6" s="150">
        <v>0</v>
      </c>
      <c r="L6" s="150">
        <v>0</v>
      </c>
      <c r="M6" s="335">
        <f>SUM(H6,I6,J6,K6,L6)</f>
        <v>3</v>
      </c>
      <c r="N6" s="150">
        <v>0</v>
      </c>
      <c r="O6" s="335">
        <f>SUM(M6,N6)</f>
        <v>3</v>
      </c>
    </row>
    <row r="7" spans="1:17" ht="17.25" customHeight="1" thickBot="1" x14ac:dyDescent="0.3">
      <c r="A7" s="339" t="s">
        <v>38</v>
      </c>
      <c r="B7" s="204">
        <f t="shared" ref="B7:G7" si="1">SUM(B6:B6)</f>
        <v>2</v>
      </c>
      <c r="C7" s="184">
        <f t="shared" si="1"/>
        <v>0</v>
      </c>
      <c r="D7" s="184">
        <f t="shared" si="1"/>
        <v>1</v>
      </c>
      <c r="E7" s="184">
        <f t="shared" si="1"/>
        <v>0</v>
      </c>
      <c r="F7" s="319">
        <f t="shared" si="1"/>
        <v>3</v>
      </c>
      <c r="G7" s="184">
        <f t="shared" si="1"/>
        <v>0</v>
      </c>
      <c r="H7" s="184">
        <f t="shared" si="0"/>
        <v>3</v>
      </c>
      <c r="I7" s="184">
        <f t="shared" ref="I7:O7" si="2">SUM(I6:I6)</f>
        <v>0</v>
      </c>
      <c r="J7" s="184">
        <f t="shared" si="2"/>
        <v>0</v>
      </c>
      <c r="K7" s="184">
        <f t="shared" si="2"/>
        <v>0</v>
      </c>
      <c r="L7" s="184">
        <f t="shared" si="2"/>
        <v>0</v>
      </c>
      <c r="M7" s="319">
        <f t="shared" si="2"/>
        <v>3</v>
      </c>
      <c r="N7" s="184">
        <f t="shared" si="2"/>
        <v>0</v>
      </c>
      <c r="O7" s="319">
        <f t="shared" si="2"/>
        <v>3</v>
      </c>
    </row>
    <row r="8" spans="1:17" ht="14.25" thickBot="1" x14ac:dyDescent="0.3">
      <c r="A8" s="205" t="s">
        <v>56</v>
      </c>
      <c r="B8" s="214">
        <v>12</v>
      </c>
      <c r="C8" s="216">
        <v>0</v>
      </c>
      <c r="D8" s="216">
        <v>4</v>
      </c>
      <c r="E8" s="216">
        <v>4</v>
      </c>
      <c r="F8" s="317">
        <f>SUM(B8:E8)</f>
        <v>20</v>
      </c>
      <c r="G8" s="216">
        <v>0</v>
      </c>
      <c r="H8" s="282">
        <f t="shared" si="0"/>
        <v>20</v>
      </c>
      <c r="I8" s="216">
        <v>1</v>
      </c>
      <c r="J8" s="216">
        <v>0</v>
      </c>
      <c r="K8" s="216">
        <v>0</v>
      </c>
      <c r="L8" s="216">
        <v>1</v>
      </c>
      <c r="M8" s="398">
        <f>SUM(H8,I8,J8,K8,L8)</f>
        <v>22</v>
      </c>
      <c r="N8" s="216">
        <v>0</v>
      </c>
      <c r="O8" s="398">
        <f>SUM(M8,N8)</f>
        <v>22</v>
      </c>
    </row>
    <row r="9" spans="1:17" ht="14.25" hidden="1" thickBot="1" x14ac:dyDescent="0.3">
      <c r="A9" s="662" t="s">
        <v>177</v>
      </c>
      <c r="B9" s="669"/>
      <c r="C9" s="671"/>
      <c r="D9" s="671"/>
      <c r="E9" s="671"/>
      <c r="F9" s="789"/>
      <c r="G9" s="671"/>
      <c r="H9" s="667"/>
      <c r="I9" s="671"/>
      <c r="J9" s="671"/>
      <c r="K9" s="671"/>
      <c r="L9" s="671"/>
      <c r="M9" s="817"/>
      <c r="N9" s="671"/>
      <c r="O9" s="817"/>
    </row>
    <row r="10" spans="1:17" ht="17.25" customHeight="1" thickBot="1" x14ac:dyDescent="0.3">
      <c r="A10" s="318" t="s">
        <v>55</v>
      </c>
      <c r="B10" s="204">
        <f t="shared" ref="B10:G10" si="3">SUM(B8:B9)</f>
        <v>12</v>
      </c>
      <c r="C10" s="184">
        <f t="shared" si="3"/>
        <v>0</v>
      </c>
      <c r="D10" s="184">
        <f t="shared" si="3"/>
        <v>4</v>
      </c>
      <c r="E10" s="184">
        <f t="shared" si="3"/>
        <v>4</v>
      </c>
      <c r="F10" s="319">
        <f>SUM(F8:F9)</f>
        <v>20</v>
      </c>
      <c r="G10" s="184">
        <f t="shared" si="3"/>
        <v>0</v>
      </c>
      <c r="H10" s="184">
        <f t="shared" si="0"/>
        <v>20</v>
      </c>
      <c r="I10" s="184">
        <f t="shared" ref="I10:O10" si="4">SUM(I8:I9)</f>
        <v>1</v>
      </c>
      <c r="J10" s="184">
        <f t="shared" si="4"/>
        <v>0</v>
      </c>
      <c r="K10" s="184">
        <f t="shared" si="4"/>
        <v>0</v>
      </c>
      <c r="L10" s="184">
        <f t="shared" si="4"/>
        <v>1</v>
      </c>
      <c r="M10" s="319">
        <f t="shared" si="4"/>
        <v>22</v>
      </c>
      <c r="N10" s="184">
        <f t="shared" si="4"/>
        <v>0</v>
      </c>
      <c r="O10" s="319">
        <f t="shared" si="4"/>
        <v>22</v>
      </c>
    </row>
    <row r="11" spans="1:17" x14ac:dyDescent="0.25">
      <c r="A11" s="448" t="s">
        <v>39</v>
      </c>
      <c r="B11" s="214">
        <v>0</v>
      </c>
      <c r="C11" s="216">
        <v>1</v>
      </c>
      <c r="D11" s="216">
        <v>1</v>
      </c>
      <c r="E11" s="216">
        <v>0</v>
      </c>
      <c r="F11" s="317">
        <f>SUM(B11:E11)</f>
        <v>2</v>
      </c>
      <c r="G11" s="216">
        <v>0</v>
      </c>
      <c r="H11" s="282">
        <f t="shared" si="0"/>
        <v>2</v>
      </c>
      <c r="I11" s="216">
        <v>0</v>
      </c>
      <c r="J11" s="216">
        <v>0</v>
      </c>
      <c r="K11" s="216">
        <v>0</v>
      </c>
      <c r="L11" s="216">
        <v>0</v>
      </c>
      <c r="M11" s="335">
        <f>SUM(H11,I11,J11,K11,L11)</f>
        <v>2</v>
      </c>
      <c r="N11" s="216">
        <v>2</v>
      </c>
      <c r="O11" s="398">
        <f>SUM(M11,N11)</f>
        <v>4</v>
      </c>
    </row>
    <row r="12" spans="1:17" x14ac:dyDescent="0.25">
      <c r="A12" s="331" t="s">
        <v>40</v>
      </c>
      <c r="B12" s="197">
        <v>2</v>
      </c>
      <c r="C12" s="150">
        <v>5</v>
      </c>
      <c r="D12" s="150">
        <v>4</v>
      </c>
      <c r="E12" s="150">
        <v>2</v>
      </c>
      <c r="F12" s="317">
        <f>SUM(B12:E12)</f>
        <v>13</v>
      </c>
      <c r="G12" s="150">
        <v>0</v>
      </c>
      <c r="H12" s="161">
        <f t="shared" si="0"/>
        <v>13</v>
      </c>
      <c r="I12" s="150">
        <v>6</v>
      </c>
      <c r="J12" s="150">
        <v>2</v>
      </c>
      <c r="K12" s="150">
        <v>3</v>
      </c>
      <c r="L12" s="150">
        <v>1</v>
      </c>
      <c r="M12" s="335">
        <f>SUM(H12,I12,J12,K12,L12)</f>
        <v>25</v>
      </c>
      <c r="N12" s="150">
        <v>5</v>
      </c>
      <c r="O12" s="335">
        <f>SUM(M12,N12)</f>
        <v>30</v>
      </c>
    </row>
    <row r="13" spans="1:17" x14ac:dyDescent="0.25">
      <c r="A13" s="331" t="s">
        <v>41</v>
      </c>
      <c r="B13" s="197">
        <v>1</v>
      </c>
      <c r="C13" s="150">
        <v>0</v>
      </c>
      <c r="D13" s="150">
        <v>14</v>
      </c>
      <c r="E13" s="150">
        <v>0</v>
      </c>
      <c r="F13" s="317">
        <f>SUM(B13:E13)</f>
        <v>15</v>
      </c>
      <c r="G13" s="150">
        <v>0</v>
      </c>
      <c r="H13" s="161">
        <f t="shared" si="0"/>
        <v>15</v>
      </c>
      <c r="I13" s="150">
        <v>1</v>
      </c>
      <c r="J13" s="150">
        <v>0</v>
      </c>
      <c r="K13" s="150">
        <v>0</v>
      </c>
      <c r="L13" s="150">
        <v>0</v>
      </c>
      <c r="M13" s="335">
        <f>SUM(H13,I13,J13,K13,L13)</f>
        <v>16</v>
      </c>
      <c r="N13" s="150">
        <v>1</v>
      </c>
      <c r="O13" s="335">
        <f>SUM(M13,N13)</f>
        <v>17</v>
      </c>
    </row>
    <row r="14" spans="1:17" ht="14.25" thickBot="1" x14ac:dyDescent="0.3">
      <c r="A14" s="449" t="s">
        <v>42</v>
      </c>
      <c r="B14" s="225">
        <v>1</v>
      </c>
      <c r="C14" s="227">
        <v>4</v>
      </c>
      <c r="D14" s="227">
        <v>0</v>
      </c>
      <c r="E14" s="227">
        <v>0</v>
      </c>
      <c r="F14" s="317">
        <f>SUM(B14:E14)</f>
        <v>5</v>
      </c>
      <c r="G14" s="227">
        <v>0</v>
      </c>
      <c r="H14" s="285">
        <f t="shared" si="0"/>
        <v>5</v>
      </c>
      <c r="I14" s="227">
        <v>2</v>
      </c>
      <c r="J14" s="227">
        <v>3</v>
      </c>
      <c r="K14" s="227">
        <v>10</v>
      </c>
      <c r="L14" s="227">
        <v>0</v>
      </c>
      <c r="M14" s="397">
        <f>SUM(H14,I14,J14,K14,L14)</f>
        <v>20</v>
      </c>
      <c r="N14" s="227">
        <v>0</v>
      </c>
      <c r="O14" s="397">
        <f>SUM(M14,N14)</f>
        <v>20</v>
      </c>
    </row>
    <row r="15" spans="1:17" ht="20.25" customHeight="1" thickBot="1" x14ac:dyDescent="0.3">
      <c r="A15" s="339" t="s">
        <v>43</v>
      </c>
      <c r="B15" s="204">
        <f t="shared" ref="B15:G15" si="5">SUM(B11:B14)</f>
        <v>4</v>
      </c>
      <c r="C15" s="184">
        <f t="shared" si="5"/>
        <v>10</v>
      </c>
      <c r="D15" s="184">
        <f t="shared" si="5"/>
        <v>19</v>
      </c>
      <c r="E15" s="184">
        <f t="shared" si="5"/>
        <v>2</v>
      </c>
      <c r="F15" s="319">
        <f t="shared" si="5"/>
        <v>35</v>
      </c>
      <c r="G15" s="184">
        <f t="shared" si="5"/>
        <v>0</v>
      </c>
      <c r="H15" s="184">
        <f t="shared" si="0"/>
        <v>35</v>
      </c>
      <c r="I15" s="184">
        <f t="shared" ref="I15:O15" si="6">SUM(I11:I14)</f>
        <v>9</v>
      </c>
      <c r="J15" s="184">
        <f t="shared" si="6"/>
        <v>5</v>
      </c>
      <c r="K15" s="184">
        <f t="shared" si="6"/>
        <v>13</v>
      </c>
      <c r="L15" s="184">
        <f t="shared" si="6"/>
        <v>1</v>
      </c>
      <c r="M15" s="319">
        <f t="shared" si="6"/>
        <v>63</v>
      </c>
      <c r="N15" s="184">
        <f t="shared" si="6"/>
        <v>8</v>
      </c>
      <c r="O15" s="319">
        <f t="shared" si="6"/>
        <v>71</v>
      </c>
    </row>
    <row r="16" spans="1:17" x14ac:dyDescent="0.25">
      <c r="A16" s="448" t="s">
        <v>44</v>
      </c>
      <c r="B16" s="214">
        <v>11</v>
      </c>
      <c r="C16" s="216">
        <v>0</v>
      </c>
      <c r="D16" s="216">
        <v>6</v>
      </c>
      <c r="E16" s="216">
        <v>1</v>
      </c>
      <c r="F16" s="317">
        <f>SUM(B16:E16)</f>
        <v>18</v>
      </c>
      <c r="G16" s="216">
        <v>0</v>
      </c>
      <c r="H16" s="282">
        <f t="shared" si="0"/>
        <v>18</v>
      </c>
      <c r="I16" s="216">
        <v>1</v>
      </c>
      <c r="J16" s="216">
        <v>0</v>
      </c>
      <c r="K16" s="216">
        <v>0</v>
      </c>
      <c r="L16" s="216">
        <v>0</v>
      </c>
      <c r="M16" s="398">
        <f>SUM(H16,I16,J16,K16,L16)</f>
        <v>19</v>
      </c>
      <c r="N16" s="216">
        <v>0</v>
      </c>
      <c r="O16" s="398">
        <f>SUM(M16,N16)</f>
        <v>19</v>
      </c>
    </row>
    <row r="17" spans="1:15" x14ac:dyDescent="0.25">
      <c r="A17" s="331" t="s">
        <v>52</v>
      </c>
      <c r="B17" s="197">
        <v>0</v>
      </c>
      <c r="C17" s="150">
        <v>1</v>
      </c>
      <c r="D17" s="150">
        <v>0</v>
      </c>
      <c r="E17" s="150">
        <v>0</v>
      </c>
      <c r="F17" s="317">
        <f>SUM(B17:E17)</f>
        <v>1</v>
      </c>
      <c r="G17" s="150">
        <v>0</v>
      </c>
      <c r="H17" s="161">
        <f t="shared" si="0"/>
        <v>1</v>
      </c>
      <c r="I17" s="150">
        <v>0</v>
      </c>
      <c r="J17" s="150">
        <v>0</v>
      </c>
      <c r="K17" s="150">
        <v>0</v>
      </c>
      <c r="L17" s="150">
        <v>0</v>
      </c>
      <c r="M17" s="335">
        <f>SUM(H17,I17,J17,K17,L17)</f>
        <v>1</v>
      </c>
      <c r="N17" s="150">
        <v>0</v>
      </c>
      <c r="O17" s="335">
        <f>SUM(M17,N17)</f>
        <v>1</v>
      </c>
    </row>
    <row r="18" spans="1:15" ht="14.25" thickBot="1" x14ac:dyDescent="0.3">
      <c r="A18" s="449" t="s">
        <v>45</v>
      </c>
      <c r="B18" s="225">
        <v>0</v>
      </c>
      <c r="C18" s="227">
        <v>1</v>
      </c>
      <c r="D18" s="227">
        <v>1</v>
      </c>
      <c r="E18" s="227">
        <v>0</v>
      </c>
      <c r="F18" s="317">
        <f>SUM(B18:E18)</f>
        <v>2</v>
      </c>
      <c r="G18" s="227">
        <v>1</v>
      </c>
      <c r="H18" s="285">
        <f t="shared" si="0"/>
        <v>3</v>
      </c>
      <c r="I18" s="227">
        <v>1</v>
      </c>
      <c r="J18" s="227">
        <v>1</v>
      </c>
      <c r="K18" s="227">
        <v>0</v>
      </c>
      <c r="L18" s="227">
        <v>0</v>
      </c>
      <c r="M18" s="397">
        <f>SUM(H18,I18,J18,K18,L18)</f>
        <v>5</v>
      </c>
      <c r="N18" s="227">
        <v>0</v>
      </c>
      <c r="O18" s="335">
        <f>SUM(M18,N18)</f>
        <v>5</v>
      </c>
    </row>
    <row r="19" spans="1:15" ht="20.100000000000001" customHeight="1" thickBot="1" x14ac:dyDescent="0.3">
      <c r="A19" s="339" t="s">
        <v>46</v>
      </c>
      <c r="B19" s="204">
        <f t="shared" ref="B19:G19" si="7">SUM(B16:B18)</f>
        <v>11</v>
      </c>
      <c r="C19" s="184">
        <f t="shared" si="7"/>
        <v>2</v>
      </c>
      <c r="D19" s="184">
        <f t="shared" si="7"/>
        <v>7</v>
      </c>
      <c r="E19" s="184">
        <f t="shared" si="7"/>
        <v>1</v>
      </c>
      <c r="F19" s="319">
        <f t="shared" si="7"/>
        <v>21</v>
      </c>
      <c r="G19" s="184">
        <f t="shared" si="7"/>
        <v>1</v>
      </c>
      <c r="H19" s="184">
        <f t="shared" si="0"/>
        <v>22</v>
      </c>
      <c r="I19" s="184">
        <f t="shared" ref="I19:O19" si="8">SUM(I16:I18)</f>
        <v>2</v>
      </c>
      <c r="J19" s="184">
        <f t="shared" si="8"/>
        <v>1</v>
      </c>
      <c r="K19" s="184">
        <f t="shared" si="8"/>
        <v>0</v>
      </c>
      <c r="L19" s="184">
        <f t="shared" si="8"/>
        <v>0</v>
      </c>
      <c r="M19" s="319">
        <f t="shared" si="8"/>
        <v>25</v>
      </c>
      <c r="N19" s="250">
        <f t="shared" si="8"/>
        <v>0</v>
      </c>
      <c r="O19" s="335">
        <f t="shared" si="8"/>
        <v>25</v>
      </c>
    </row>
    <row r="20" spans="1:15" ht="17.25" customHeight="1" thickBot="1" x14ac:dyDescent="0.3">
      <c r="A20" s="339" t="s">
        <v>47</v>
      </c>
      <c r="B20" s="184">
        <f t="shared" ref="B20:G20" si="9">SUM(B7,B10,B15,B19)</f>
        <v>29</v>
      </c>
      <c r="C20" s="184">
        <f t="shared" si="9"/>
        <v>12</v>
      </c>
      <c r="D20" s="184">
        <f t="shared" si="9"/>
        <v>31</v>
      </c>
      <c r="E20" s="184">
        <f t="shared" si="9"/>
        <v>7</v>
      </c>
      <c r="F20" s="319">
        <f t="shared" si="9"/>
        <v>79</v>
      </c>
      <c r="G20" s="184">
        <f t="shared" si="9"/>
        <v>1</v>
      </c>
      <c r="H20" s="184">
        <f t="shared" si="0"/>
        <v>80</v>
      </c>
      <c r="I20" s="184">
        <f t="shared" ref="I20:O20" si="10">SUM(I7,I10,I15,I19)</f>
        <v>12</v>
      </c>
      <c r="J20" s="184">
        <f t="shared" si="10"/>
        <v>6</v>
      </c>
      <c r="K20" s="184">
        <f t="shared" si="10"/>
        <v>13</v>
      </c>
      <c r="L20" s="184">
        <f t="shared" si="10"/>
        <v>2</v>
      </c>
      <c r="M20" s="319">
        <f t="shared" si="10"/>
        <v>113</v>
      </c>
      <c r="N20" s="184">
        <f t="shared" si="10"/>
        <v>8</v>
      </c>
      <c r="O20" s="319">
        <f t="shared" si="10"/>
        <v>121</v>
      </c>
    </row>
    <row r="21" spans="1:15" hidden="1" x14ac:dyDescent="0.25">
      <c r="A21" s="811" t="s">
        <v>206</v>
      </c>
      <c r="B21" s="797"/>
      <c r="C21" s="812"/>
      <c r="D21" s="812"/>
      <c r="E21" s="813"/>
      <c r="F21" s="814"/>
      <c r="G21" s="815"/>
      <c r="H21" s="814"/>
      <c r="I21" s="797"/>
      <c r="J21" s="812"/>
      <c r="K21" s="812"/>
      <c r="L21" s="813"/>
      <c r="M21" s="814"/>
      <c r="N21" s="815"/>
      <c r="O21" s="814"/>
    </row>
    <row r="22" spans="1:15" ht="14.25" thickBot="1" x14ac:dyDescent="0.3">
      <c r="A22" s="451" t="s">
        <v>294</v>
      </c>
      <c r="B22" s="452">
        <f>B20+B21</f>
        <v>29</v>
      </c>
      <c r="C22" s="452">
        <f t="shared" ref="C22:O22" si="11">C20+C21</f>
        <v>12</v>
      </c>
      <c r="D22" s="452">
        <f t="shared" si="11"/>
        <v>31</v>
      </c>
      <c r="E22" s="453">
        <f t="shared" si="11"/>
        <v>7</v>
      </c>
      <c r="F22" s="321">
        <f t="shared" si="11"/>
        <v>79</v>
      </c>
      <c r="G22" s="453">
        <f t="shared" si="11"/>
        <v>1</v>
      </c>
      <c r="H22" s="321">
        <f t="shared" si="11"/>
        <v>80</v>
      </c>
      <c r="I22" s="452">
        <f t="shared" si="11"/>
        <v>12</v>
      </c>
      <c r="J22" s="452">
        <f t="shared" si="11"/>
        <v>6</v>
      </c>
      <c r="K22" s="452">
        <f t="shared" si="11"/>
        <v>13</v>
      </c>
      <c r="L22" s="453">
        <f t="shared" si="11"/>
        <v>2</v>
      </c>
      <c r="M22" s="321">
        <f t="shared" si="11"/>
        <v>113</v>
      </c>
      <c r="N22" s="453">
        <f t="shared" si="11"/>
        <v>8</v>
      </c>
      <c r="O22" s="321">
        <f t="shared" si="11"/>
        <v>121</v>
      </c>
    </row>
    <row r="23" spans="1:15" ht="14.25" thickBot="1" x14ac:dyDescent="0.3">
      <c r="H23" s="123"/>
    </row>
    <row r="24" spans="1:15" ht="14.25" thickBot="1" x14ac:dyDescent="0.3">
      <c r="A24" s="314">
        <f>O22</f>
        <v>121</v>
      </c>
      <c r="B24" s="406" t="s">
        <v>116</v>
      </c>
      <c r="C24" s="406"/>
      <c r="D24" s="407"/>
      <c r="E24" s="454">
        <f>'Anlage 1a'!P45</f>
        <v>990</v>
      </c>
      <c r="F24" s="406" t="s">
        <v>117</v>
      </c>
      <c r="G24" s="407"/>
      <c r="H24" s="406" t="s">
        <v>118</v>
      </c>
      <c r="I24" s="406"/>
      <c r="J24" s="406"/>
      <c r="K24" s="406"/>
      <c r="L24" s="406"/>
      <c r="M24" s="406"/>
      <c r="N24" s="410">
        <f>A24/E24*100</f>
        <v>12.222222222222221</v>
      </c>
      <c r="O24" s="320" t="s">
        <v>50</v>
      </c>
    </row>
  </sheetData>
  <customSheetViews>
    <customSheetView guid="{0224233B-564D-4BBC-A6B2-E639E6D2CFB3}" showPageBreaks="1" hiddenRow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view="pageLayout" zoomScaleNormal="110" zoomScaleSheetLayoutView="100" workbookViewId="0">
      <selection activeCell="O18" sqref="O18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121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122</v>
      </c>
      <c r="B5" s="412" t="s">
        <v>102</v>
      </c>
      <c r="C5" s="412" t="s">
        <v>103</v>
      </c>
      <c r="D5" s="412" t="s">
        <v>104</v>
      </c>
      <c r="E5" s="412" t="s">
        <v>105</v>
      </c>
      <c r="F5" s="414" t="s">
        <v>106</v>
      </c>
      <c r="G5" s="412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6.5" customHeight="1" thickBot="1" x14ac:dyDescent="0.3">
      <c r="A6" s="446" t="s">
        <v>36</v>
      </c>
      <c r="B6" s="197">
        <v>2</v>
      </c>
      <c r="C6" s="150">
        <v>0</v>
      </c>
      <c r="D6" s="150">
        <v>0</v>
      </c>
      <c r="E6" s="150">
        <v>0</v>
      </c>
      <c r="F6" s="317">
        <f>SUM(B6:E6)</f>
        <v>2</v>
      </c>
      <c r="G6" s="150">
        <v>0</v>
      </c>
      <c r="H6" s="282">
        <f t="shared" ref="H6:H20" si="0">SUM(F6:G6)</f>
        <v>2</v>
      </c>
      <c r="I6" s="150">
        <v>0</v>
      </c>
      <c r="J6" s="150">
        <v>0</v>
      </c>
      <c r="K6" s="150">
        <v>0</v>
      </c>
      <c r="L6" s="150">
        <v>0</v>
      </c>
      <c r="M6" s="335">
        <f>SUM(H6,I6,J6,K6,L6)</f>
        <v>2</v>
      </c>
      <c r="N6" s="150">
        <v>0</v>
      </c>
      <c r="O6" s="398">
        <f>SUM(M6,N6)</f>
        <v>2</v>
      </c>
    </row>
    <row r="7" spans="1:17" ht="16.5" customHeight="1" thickBot="1" x14ac:dyDescent="0.3">
      <c r="A7" s="339" t="s">
        <v>38</v>
      </c>
      <c r="B7" s="204">
        <f t="shared" ref="B7:G7" si="1">SUM(B6:B6)</f>
        <v>2</v>
      </c>
      <c r="C7" s="184">
        <f t="shared" si="1"/>
        <v>0</v>
      </c>
      <c r="D7" s="184">
        <f t="shared" si="1"/>
        <v>0</v>
      </c>
      <c r="E7" s="184">
        <f t="shared" si="1"/>
        <v>0</v>
      </c>
      <c r="F7" s="319">
        <f t="shared" si="1"/>
        <v>2</v>
      </c>
      <c r="G7" s="184">
        <f t="shared" si="1"/>
        <v>0</v>
      </c>
      <c r="H7" s="184">
        <f t="shared" si="0"/>
        <v>2</v>
      </c>
      <c r="I7" s="184">
        <f t="shared" ref="I7:O7" si="2">SUM(I6:I6)</f>
        <v>0</v>
      </c>
      <c r="J7" s="184">
        <f t="shared" si="2"/>
        <v>0</v>
      </c>
      <c r="K7" s="184">
        <f t="shared" si="2"/>
        <v>0</v>
      </c>
      <c r="L7" s="184">
        <f t="shared" si="2"/>
        <v>0</v>
      </c>
      <c r="M7" s="319">
        <f t="shared" si="2"/>
        <v>2</v>
      </c>
      <c r="N7" s="184">
        <f t="shared" si="2"/>
        <v>0</v>
      </c>
      <c r="O7" s="319">
        <f t="shared" si="2"/>
        <v>2</v>
      </c>
    </row>
    <row r="8" spans="1:17" ht="14.25" thickBot="1" x14ac:dyDescent="0.3">
      <c r="A8" s="205" t="s">
        <v>56</v>
      </c>
      <c r="B8" s="214">
        <v>3</v>
      </c>
      <c r="C8" s="216">
        <v>1</v>
      </c>
      <c r="D8" s="216">
        <v>2</v>
      </c>
      <c r="E8" s="216">
        <v>5</v>
      </c>
      <c r="F8" s="317">
        <f>SUM(B8:E8)</f>
        <v>11</v>
      </c>
      <c r="G8" s="216">
        <v>0</v>
      </c>
      <c r="H8" s="282">
        <f t="shared" si="0"/>
        <v>11</v>
      </c>
      <c r="I8" s="216">
        <v>1</v>
      </c>
      <c r="J8" s="216">
        <v>2</v>
      </c>
      <c r="K8" s="216">
        <v>0</v>
      </c>
      <c r="L8" s="216">
        <v>0</v>
      </c>
      <c r="M8" s="398">
        <f>SUM(H8,I8,J8,K8,L8)</f>
        <v>14</v>
      </c>
      <c r="N8" s="216">
        <v>0</v>
      </c>
      <c r="O8" s="398">
        <f>SUM(M8,N8)</f>
        <v>14</v>
      </c>
    </row>
    <row r="9" spans="1:17" ht="14.25" hidden="1" thickBot="1" x14ac:dyDescent="0.3">
      <c r="A9" s="662" t="s">
        <v>177</v>
      </c>
      <c r="B9" s="669"/>
      <c r="C9" s="671"/>
      <c r="D9" s="671"/>
      <c r="E9" s="671"/>
      <c r="F9" s="789"/>
      <c r="G9" s="671"/>
      <c r="H9" s="667"/>
      <c r="I9" s="671"/>
      <c r="J9" s="671"/>
      <c r="K9" s="671"/>
      <c r="L9" s="671"/>
      <c r="M9" s="817"/>
      <c r="N9" s="671"/>
      <c r="O9" s="817"/>
    </row>
    <row r="10" spans="1:17" ht="15" customHeight="1" thickBot="1" x14ac:dyDescent="0.3">
      <c r="A10" s="318" t="s">
        <v>55</v>
      </c>
      <c r="B10" s="204">
        <f t="shared" ref="B10:G10" si="3">SUM(B8:B9)</f>
        <v>3</v>
      </c>
      <c r="C10" s="184">
        <f t="shared" si="3"/>
        <v>1</v>
      </c>
      <c r="D10" s="184">
        <f t="shared" si="3"/>
        <v>2</v>
      </c>
      <c r="E10" s="184">
        <f t="shared" si="3"/>
        <v>5</v>
      </c>
      <c r="F10" s="319">
        <f>SUM(F8:F9)</f>
        <v>11</v>
      </c>
      <c r="G10" s="184">
        <f t="shared" si="3"/>
        <v>0</v>
      </c>
      <c r="H10" s="184">
        <f t="shared" si="0"/>
        <v>11</v>
      </c>
      <c r="I10" s="184">
        <f t="shared" ref="I10:O10" si="4">SUM(I8:I9)</f>
        <v>1</v>
      </c>
      <c r="J10" s="184">
        <f t="shared" si="4"/>
        <v>2</v>
      </c>
      <c r="K10" s="184">
        <f t="shared" si="4"/>
        <v>0</v>
      </c>
      <c r="L10" s="184">
        <f t="shared" si="4"/>
        <v>0</v>
      </c>
      <c r="M10" s="319">
        <f t="shared" si="4"/>
        <v>14</v>
      </c>
      <c r="N10" s="184">
        <f t="shared" si="4"/>
        <v>0</v>
      </c>
      <c r="O10" s="319">
        <f t="shared" si="4"/>
        <v>14</v>
      </c>
    </row>
    <row r="11" spans="1:17" x14ac:dyDescent="0.25">
      <c r="A11" s="448" t="s">
        <v>39</v>
      </c>
      <c r="B11" s="214">
        <v>3</v>
      </c>
      <c r="C11" s="216">
        <v>2</v>
      </c>
      <c r="D11" s="216">
        <v>1</v>
      </c>
      <c r="E11" s="216">
        <v>0</v>
      </c>
      <c r="F11" s="317">
        <f>SUM(B11:E11)</f>
        <v>6</v>
      </c>
      <c r="G11" s="216">
        <v>0</v>
      </c>
      <c r="H11" s="282">
        <f t="shared" si="0"/>
        <v>6</v>
      </c>
      <c r="I11" s="216">
        <v>0</v>
      </c>
      <c r="J11" s="216">
        <v>0</v>
      </c>
      <c r="K11" s="216">
        <v>1</v>
      </c>
      <c r="L11" s="216">
        <v>0</v>
      </c>
      <c r="M11" s="398">
        <f>SUM(H11,I11,J11,K11,L11)</f>
        <v>7</v>
      </c>
      <c r="N11" s="216">
        <v>1</v>
      </c>
      <c r="O11" s="398">
        <f>SUM(M11,N11)</f>
        <v>8</v>
      </c>
    </row>
    <row r="12" spans="1:17" x14ac:dyDescent="0.25">
      <c r="A12" s="331" t="s">
        <v>40</v>
      </c>
      <c r="B12" s="197">
        <v>2</v>
      </c>
      <c r="C12" s="150">
        <v>4</v>
      </c>
      <c r="D12" s="150">
        <v>4</v>
      </c>
      <c r="E12" s="150">
        <v>2</v>
      </c>
      <c r="F12" s="317">
        <f>SUM(B12:E12)</f>
        <v>12</v>
      </c>
      <c r="G12" s="150">
        <v>0</v>
      </c>
      <c r="H12" s="161">
        <f t="shared" si="0"/>
        <v>12</v>
      </c>
      <c r="I12" s="150">
        <v>9</v>
      </c>
      <c r="J12" s="150">
        <v>1</v>
      </c>
      <c r="K12" s="150">
        <v>3</v>
      </c>
      <c r="L12" s="150">
        <v>1</v>
      </c>
      <c r="M12" s="335">
        <f>SUM(H12,I12,J12,K12,L12)</f>
        <v>26</v>
      </c>
      <c r="N12" s="150">
        <v>1</v>
      </c>
      <c r="O12" s="335">
        <f>SUM(M12,N12)</f>
        <v>27</v>
      </c>
    </row>
    <row r="13" spans="1:17" x14ac:dyDescent="0.25">
      <c r="A13" s="331" t="s">
        <v>41</v>
      </c>
      <c r="B13" s="197">
        <v>1</v>
      </c>
      <c r="C13" s="150">
        <v>0</v>
      </c>
      <c r="D13" s="150">
        <v>11</v>
      </c>
      <c r="E13" s="150">
        <v>1</v>
      </c>
      <c r="F13" s="317">
        <f>SUM(B13:E13)</f>
        <v>13</v>
      </c>
      <c r="G13" s="150">
        <v>0</v>
      </c>
      <c r="H13" s="161">
        <f t="shared" si="0"/>
        <v>13</v>
      </c>
      <c r="I13" s="150">
        <v>3</v>
      </c>
      <c r="J13" s="150">
        <v>0</v>
      </c>
      <c r="K13" s="150">
        <v>0</v>
      </c>
      <c r="L13" s="150">
        <v>1</v>
      </c>
      <c r="M13" s="335">
        <f>SUM(H13,I13,J13,K13,L13)</f>
        <v>17</v>
      </c>
      <c r="N13" s="150">
        <v>1</v>
      </c>
      <c r="O13" s="335">
        <f>SUM(M13,N13)</f>
        <v>18</v>
      </c>
    </row>
    <row r="14" spans="1:17" ht="14.25" thickBot="1" x14ac:dyDescent="0.3">
      <c r="A14" s="449" t="s">
        <v>42</v>
      </c>
      <c r="B14" s="225">
        <v>2</v>
      </c>
      <c r="C14" s="227">
        <v>6</v>
      </c>
      <c r="D14" s="227">
        <v>0</v>
      </c>
      <c r="E14" s="227">
        <v>0</v>
      </c>
      <c r="F14" s="317">
        <f>SUM(B14:E14)</f>
        <v>8</v>
      </c>
      <c r="G14" s="227">
        <v>1</v>
      </c>
      <c r="H14" s="285">
        <f t="shared" si="0"/>
        <v>9</v>
      </c>
      <c r="I14" s="227">
        <v>1</v>
      </c>
      <c r="J14" s="227">
        <v>1</v>
      </c>
      <c r="K14" s="227">
        <v>17</v>
      </c>
      <c r="L14" s="227">
        <v>0</v>
      </c>
      <c r="M14" s="397">
        <f>SUM(H14,I14,J14,K14,L14)</f>
        <v>28</v>
      </c>
      <c r="N14" s="227">
        <v>0</v>
      </c>
      <c r="O14" s="397">
        <f>SUM(M14,N14)</f>
        <v>28</v>
      </c>
    </row>
    <row r="15" spans="1:17" ht="17.25" customHeight="1" thickBot="1" x14ac:dyDescent="0.3">
      <c r="A15" s="339" t="s">
        <v>43</v>
      </c>
      <c r="B15" s="204">
        <f t="shared" ref="B15:G15" si="5">SUM(B11:B14)</f>
        <v>8</v>
      </c>
      <c r="C15" s="184">
        <f t="shared" si="5"/>
        <v>12</v>
      </c>
      <c r="D15" s="184">
        <f t="shared" si="5"/>
        <v>16</v>
      </c>
      <c r="E15" s="184">
        <f t="shared" si="5"/>
        <v>3</v>
      </c>
      <c r="F15" s="319">
        <f t="shared" si="5"/>
        <v>39</v>
      </c>
      <c r="G15" s="184">
        <f t="shared" si="5"/>
        <v>1</v>
      </c>
      <c r="H15" s="184">
        <f t="shared" si="0"/>
        <v>40</v>
      </c>
      <c r="I15" s="184">
        <f t="shared" ref="I15:O15" si="6">SUM(I11:I14)</f>
        <v>13</v>
      </c>
      <c r="J15" s="184">
        <f t="shared" si="6"/>
        <v>2</v>
      </c>
      <c r="K15" s="184">
        <f t="shared" si="6"/>
        <v>21</v>
      </c>
      <c r="L15" s="184">
        <f t="shared" si="6"/>
        <v>2</v>
      </c>
      <c r="M15" s="319">
        <f t="shared" si="6"/>
        <v>78</v>
      </c>
      <c r="N15" s="184">
        <f t="shared" si="6"/>
        <v>3</v>
      </c>
      <c r="O15" s="319">
        <f t="shared" si="6"/>
        <v>81</v>
      </c>
    </row>
    <row r="16" spans="1:17" x14ac:dyDescent="0.25">
      <c r="A16" s="448" t="s">
        <v>44</v>
      </c>
      <c r="B16" s="214">
        <v>20</v>
      </c>
      <c r="C16" s="216">
        <v>0</v>
      </c>
      <c r="D16" s="216">
        <v>6</v>
      </c>
      <c r="E16" s="216">
        <v>0</v>
      </c>
      <c r="F16" s="317">
        <f>SUM(B16:E16)</f>
        <v>26</v>
      </c>
      <c r="G16" s="216">
        <v>0</v>
      </c>
      <c r="H16" s="282">
        <f t="shared" si="0"/>
        <v>26</v>
      </c>
      <c r="I16" s="216">
        <v>0</v>
      </c>
      <c r="J16" s="216">
        <v>0</v>
      </c>
      <c r="K16" s="216">
        <v>2</v>
      </c>
      <c r="L16" s="216">
        <v>0</v>
      </c>
      <c r="M16" s="398">
        <f>SUM(H16,I16,J16,K16,L16)</f>
        <v>28</v>
      </c>
      <c r="N16" s="216">
        <v>0</v>
      </c>
      <c r="O16" s="398">
        <f>SUM(M16,N16)</f>
        <v>28</v>
      </c>
    </row>
    <row r="17" spans="1:15" x14ac:dyDescent="0.25">
      <c r="A17" s="331" t="s">
        <v>52</v>
      </c>
      <c r="B17" s="197">
        <v>0</v>
      </c>
      <c r="C17" s="150">
        <v>0</v>
      </c>
      <c r="D17" s="150">
        <v>1</v>
      </c>
      <c r="E17" s="150">
        <v>0</v>
      </c>
      <c r="F17" s="317">
        <f>SUM(B17:E17)</f>
        <v>1</v>
      </c>
      <c r="G17" s="150">
        <v>0</v>
      </c>
      <c r="H17" s="161">
        <f t="shared" si="0"/>
        <v>1</v>
      </c>
      <c r="I17" s="150">
        <v>1</v>
      </c>
      <c r="J17" s="150">
        <v>2</v>
      </c>
      <c r="K17" s="150">
        <v>0</v>
      </c>
      <c r="L17" s="150">
        <v>0</v>
      </c>
      <c r="M17" s="335">
        <f>SUM(H17,I17,J17,K17,L17)</f>
        <v>4</v>
      </c>
      <c r="N17" s="150">
        <v>0</v>
      </c>
      <c r="O17" s="335">
        <f>SUM(M17,N17)</f>
        <v>4</v>
      </c>
    </row>
    <row r="18" spans="1:15" ht="14.25" thickBot="1" x14ac:dyDescent="0.3">
      <c r="A18" s="449" t="s">
        <v>45</v>
      </c>
      <c r="B18" s="225">
        <v>1</v>
      </c>
      <c r="C18" s="227">
        <v>0</v>
      </c>
      <c r="D18" s="227">
        <v>2</v>
      </c>
      <c r="E18" s="227">
        <v>0</v>
      </c>
      <c r="F18" s="317">
        <f>SUM(B18:E18)</f>
        <v>3</v>
      </c>
      <c r="G18" s="227">
        <v>0</v>
      </c>
      <c r="H18" s="285">
        <f t="shared" si="0"/>
        <v>3</v>
      </c>
      <c r="I18" s="227">
        <v>0</v>
      </c>
      <c r="J18" s="227">
        <v>0</v>
      </c>
      <c r="K18" s="227">
        <v>1</v>
      </c>
      <c r="L18" s="227">
        <v>1</v>
      </c>
      <c r="M18" s="397">
        <f>SUM(H18,I18,J18,K18,L18)</f>
        <v>5</v>
      </c>
      <c r="N18" s="227">
        <v>0</v>
      </c>
      <c r="O18" s="397">
        <f>SUM(M18,N18)</f>
        <v>5</v>
      </c>
    </row>
    <row r="19" spans="1:15" ht="20.100000000000001" customHeight="1" thickBot="1" x14ac:dyDescent="0.3">
      <c r="A19" s="339" t="s">
        <v>46</v>
      </c>
      <c r="B19" s="204">
        <f t="shared" ref="B19:G19" si="7">SUM(B16:B18)</f>
        <v>21</v>
      </c>
      <c r="C19" s="184">
        <f t="shared" si="7"/>
        <v>0</v>
      </c>
      <c r="D19" s="184">
        <f t="shared" si="7"/>
        <v>9</v>
      </c>
      <c r="E19" s="184">
        <f t="shared" si="7"/>
        <v>0</v>
      </c>
      <c r="F19" s="319">
        <f t="shared" si="7"/>
        <v>30</v>
      </c>
      <c r="G19" s="184">
        <f t="shared" si="7"/>
        <v>0</v>
      </c>
      <c r="H19" s="184">
        <f t="shared" si="0"/>
        <v>30</v>
      </c>
      <c r="I19" s="184">
        <f t="shared" ref="I19:O19" si="8">SUM(I16:I18)</f>
        <v>1</v>
      </c>
      <c r="J19" s="184">
        <f t="shared" si="8"/>
        <v>2</v>
      </c>
      <c r="K19" s="184">
        <f t="shared" si="8"/>
        <v>3</v>
      </c>
      <c r="L19" s="184">
        <f t="shared" si="8"/>
        <v>1</v>
      </c>
      <c r="M19" s="319">
        <f t="shared" si="8"/>
        <v>37</v>
      </c>
      <c r="N19" s="184">
        <f t="shared" si="8"/>
        <v>0</v>
      </c>
      <c r="O19" s="319">
        <f t="shared" si="8"/>
        <v>37</v>
      </c>
    </row>
    <row r="20" spans="1:15" ht="20.25" customHeight="1" thickBot="1" x14ac:dyDescent="0.3">
      <c r="A20" s="339" t="s">
        <v>47</v>
      </c>
      <c r="B20" s="184">
        <f t="shared" ref="B20:G20" si="9">SUM(B7,B10,B15,B19)</f>
        <v>34</v>
      </c>
      <c r="C20" s="184">
        <f t="shared" si="9"/>
        <v>13</v>
      </c>
      <c r="D20" s="184">
        <f t="shared" si="9"/>
        <v>27</v>
      </c>
      <c r="E20" s="184">
        <f t="shared" si="9"/>
        <v>8</v>
      </c>
      <c r="F20" s="319">
        <f t="shared" si="9"/>
        <v>82</v>
      </c>
      <c r="G20" s="184">
        <f t="shared" si="9"/>
        <v>1</v>
      </c>
      <c r="H20" s="184">
        <f t="shared" si="0"/>
        <v>83</v>
      </c>
      <c r="I20" s="184">
        <f t="shared" ref="I20:O20" si="10">SUM(I7,I10,I15,I19)</f>
        <v>15</v>
      </c>
      <c r="J20" s="184">
        <f t="shared" si="10"/>
        <v>6</v>
      </c>
      <c r="K20" s="184">
        <f t="shared" si="10"/>
        <v>24</v>
      </c>
      <c r="L20" s="184">
        <f t="shared" si="10"/>
        <v>3</v>
      </c>
      <c r="M20" s="319">
        <f t="shared" si="10"/>
        <v>131</v>
      </c>
      <c r="N20" s="184">
        <f t="shared" si="10"/>
        <v>3</v>
      </c>
      <c r="O20" s="319">
        <f t="shared" si="10"/>
        <v>134</v>
      </c>
    </row>
    <row r="21" spans="1:15" hidden="1" x14ac:dyDescent="0.25">
      <c r="A21" s="811" t="s">
        <v>206</v>
      </c>
      <c r="B21" s="797"/>
      <c r="C21" s="812"/>
      <c r="D21" s="812"/>
      <c r="E21" s="813"/>
      <c r="F21" s="814"/>
      <c r="G21" s="815"/>
      <c r="H21" s="814"/>
      <c r="I21" s="797"/>
      <c r="J21" s="812"/>
      <c r="K21" s="812"/>
      <c r="L21" s="813"/>
      <c r="M21" s="814"/>
      <c r="N21" s="815"/>
      <c r="O21" s="814"/>
    </row>
    <row r="22" spans="1:15" ht="14.25" thickBot="1" x14ac:dyDescent="0.3">
      <c r="A22" s="451" t="s">
        <v>294</v>
      </c>
      <c r="B22" s="452">
        <f>B20+B21</f>
        <v>34</v>
      </c>
      <c r="C22" s="452">
        <f t="shared" ref="C22:O22" si="11">C20+C21</f>
        <v>13</v>
      </c>
      <c r="D22" s="452">
        <f t="shared" si="11"/>
        <v>27</v>
      </c>
      <c r="E22" s="453">
        <f t="shared" si="11"/>
        <v>8</v>
      </c>
      <c r="F22" s="321">
        <f t="shared" si="11"/>
        <v>82</v>
      </c>
      <c r="G22" s="453">
        <f t="shared" si="11"/>
        <v>1</v>
      </c>
      <c r="H22" s="321">
        <f t="shared" si="11"/>
        <v>83</v>
      </c>
      <c r="I22" s="452">
        <f t="shared" si="11"/>
        <v>15</v>
      </c>
      <c r="J22" s="452">
        <f t="shared" si="11"/>
        <v>6</v>
      </c>
      <c r="K22" s="452">
        <f t="shared" si="11"/>
        <v>24</v>
      </c>
      <c r="L22" s="453">
        <f t="shared" si="11"/>
        <v>3</v>
      </c>
      <c r="M22" s="321">
        <f t="shared" si="11"/>
        <v>131</v>
      </c>
      <c r="N22" s="453">
        <f t="shared" si="11"/>
        <v>3</v>
      </c>
      <c r="O22" s="321">
        <f t="shared" si="11"/>
        <v>134</v>
      </c>
    </row>
    <row r="23" spans="1:15" ht="14.25" thickBot="1" x14ac:dyDescent="0.3">
      <c r="H23" s="123"/>
    </row>
    <row r="24" spans="1:15" ht="14.25" thickBot="1" x14ac:dyDescent="0.3">
      <c r="A24" s="314">
        <f>O22</f>
        <v>134</v>
      </c>
      <c r="B24" s="406" t="s">
        <v>116</v>
      </c>
      <c r="C24" s="406"/>
      <c r="D24" s="407"/>
      <c r="E24" s="454">
        <f>'Anlage 1a'!R45</f>
        <v>918</v>
      </c>
      <c r="F24" s="406" t="s">
        <v>117</v>
      </c>
      <c r="G24" s="407"/>
      <c r="H24" s="406" t="s">
        <v>118</v>
      </c>
      <c r="I24" s="406"/>
      <c r="J24" s="406"/>
      <c r="K24" s="406"/>
      <c r="L24" s="406"/>
      <c r="M24" s="406"/>
      <c r="N24" s="410">
        <f>A24/E24*100</f>
        <v>14.596949891067537</v>
      </c>
      <c r="O24" s="320" t="s">
        <v>50</v>
      </c>
    </row>
  </sheetData>
  <customSheetViews>
    <customSheetView guid="{0224233B-564D-4BBC-A6B2-E639E6D2CFB3}" showPageBreaks="1" hiddenRow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view="pageLayout" zoomScaleNormal="110" zoomScaleSheetLayoutView="100" workbookViewId="0">
      <selection activeCell="O18" sqref="O18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123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124</v>
      </c>
      <c r="B5" s="412" t="s">
        <v>102</v>
      </c>
      <c r="C5" s="412" t="s">
        <v>103</v>
      </c>
      <c r="D5" s="412" t="s">
        <v>104</v>
      </c>
      <c r="E5" s="412" t="s">
        <v>105</v>
      </c>
      <c r="F5" s="414" t="s">
        <v>106</v>
      </c>
      <c r="G5" s="412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7.25" customHeight="1" thickBot="1" x14ac:dyDescent="0.3">
      <c r="A6" s="446" t="s">
        <v>36</v>
      </c>
      <c r="B6" s="197">
        <v>1</v>
      </c>
      <c r="C6" s="150">
        <v>0</v>
      </c>
      <c r="D6" s="150">
        <v>0</v>
      </c>
      <c r="E6" s="150">
        <v>0</v>
      </c>
      <c r="F6" s="317">
        <f>SUM(B6:E6)</f>
        <v>1</v>
      </c>
      <c r="G6" s="150">
        <v>0</v>
      </c>
      <c r="H6" s="161">
        <f>SUM(F6:G6)</f>
        <v>1</v>
      </c>
      <c r="I6" s="150">
        <v>0</v>
      </c>
      <c r="J6" s="150">
        <v>1</v>
      </c>
      <c r="K6" s="150">
        <v>0</v>
      </c>
      <c r="L6" s="150">
        <v>0</v>
      </c>
      <c r="M6" s="335">
        <f>SUM(H6,I6,J6,K6,L6)</f>
        <v>2</v>
      </c>
      <c r="N6" s="150">
        <v>0</v>
      </c>
      <c r="O6" s="335">
        <f>SUM(M6,N6)</f>
        <v>2</v>
      </c>
    </row>
    <row r="7" spans="1:17" ht="18.75" customHeight="1" thickBot="1" x14ac:dyDescent="0.3">
      <c r="A7" s="339" t="s">
        <v>38</v>
      </c>
      <c r="B7" s="204">
        <f t="shared" ref="B7:G7" si="0">SUM(B6:B6)</f>
        <v>1</v>
      </c>
      <c r="C7" s="184">
        <f t="shared" si="0"/>
        <v>0</v>
      </c>
      <c r="D7" s="184">
        <f t="shared" si="0"/>
        <v>0</v>
      </c>
      <c r="E7" s="184">
        <f t="shared" si="0"/>
        <v>0</v>
      </c>
      <c r="F7" s="319">
        <f t="shared" si="0"/>
        <v>1</v>
      </c>
      <c r="G7" s="184">
        <f t="shared" si="0"/>
        <v>0</v>
      </c>
      <c r="H7" s="184">
        <f t="shared" ref="H7:H19" si="1">SUM(F7:G7)</f>
        <v>1</v>
      </c>
      <c r="I7" s="184">
        <f t="shared" ref="I7:O7" si="2">SUM(I6:I6)</f>
        <v>0</v>
      </c>
      <c r="J7" s="184">
        <f t="shared" si="2"/>
        <v>1</v>
      </c>
      <c r="K7" s="184">
        <f t="shared" si="2"/>
        <v>0</v>
      </c>
      <c r="L7" s="184">
        <f t="shared" si="2"/>
        <v>0</v>
      </c>
      <c r="M7" s="319">
        <f t="shared" si="2"/>
        <v>2</v>
      </c>
      <c r="N7" s="184">
        <f t="shared" si="2"/>
        <v>0</v>
      </c>
      <c r="O7" s="319">
        <f t="shared" si="2"/>
        <v>2</v>
      </c>
    </row>
    <row r="8" spans="1:17" ht="14.25" thickBot="1" x14ac:dyDescent="0.3">
      <c r="A8" s="205" t="s">
        <v>125</v>
      </c>
      <c r="B8" s="214">
        <v>5</v>
      </c>
      <c r="C8" s="216">
        <v>0</v>
      </c>
      <c r="D8" s="216">
        <v>6</v>
      </c>
      <c r="E8" s="216">
        <v>3</v>
      </c>
      <c r="F8" s="317">
        <f>SUM(B8:E8)</f>
        <v>14</v>
      </c>
      <c r="G8" s="216">
        <v>1</v>
      </c>
      <c r="H8" s="282">
        <f t="shared" si="1"/>
        <v>15</v>
      </c>
      <c r="I8" s="216">
        <v>1</v>
      </c>
      <c r="J8" s="216">
        <v>1</v>
      </c>
      <c r="K8" s="216">
        <v>0</v>
      </c>
      <c r="L8" s="216">
        <v>0</v>
      </c>
      <c r="M8" s="397">
        <f>SUM(H8,I8,J8,K8,L8)</f>
        <v>17</v>
      </c>
      <c r="N8" s="216">
        <v>0</v>
      </c>
      <c r="O8" s="398">
        <f>SUM(M8,N8)</f>
        <v>17</v>
      </c>
    </row>
    <row r="9" spans="1:17" ht="14.25" hidden="1" thickBot="1" x14ac:dyDescent="0.3">
      <c r="A9" s="662" t="s">
        <v>177</v>
      </c>
      <c r="B9" s="669"/>
      <c r="C9" s="671"/>
      <c r="D9" s="671"/>
      <c r="E9" s="671"/>
      <c r="F9" s="789"/>
      <c r="G9" s="671"/>
      <c r="H9" s="667"/>
      <c r="I9" s="671"/>
      <c r="J9" s="671"/>
      <c r="K9" s="671"/>
      <c r="L9" s="671"/>
      <c r="M9" s="817"/>
      <c r="N9" s="671"/>
      <c r="O9" s="817"/>
    </row>
    <row r="10" spans="1:17" ht="17.25" customHeight="1" thickBot="1" x14ac:dyDescent="0.3">
      <c r="A10" s="318" t="s">
        <v>55</v>
      </c>
      <c r="B10" s="204">
        <f t="shared" ref="B10:G10" si="3">SUM(B8:B9)</f>
        <v>5</v>
      </c>
      <c r="C10" s="184">
        <f t="shared" si="3"/>
        <v>0</v>
      </c>
      <c r="D10" s="184">
        <f t="shared" si="3"/>
        <v>6</v>
      </c>
      <c r="E10" s="184">
        <f t="shared" si="3"/>
        <v>3</v>
      </c>
      <c r="F10" s="319">
        <f t="shared" si="3"/>
        <v>14</v>
      </c>
      <c r="G10" s="184">
        <f t="shared" si="3"/>
        <v>1</v>
      </c>
      <c r="H10" s="184">
        <f t="shared" si="1"/>
        <v>15</v>
      </c>
      <c r="I10" s="184">
        <f t="shared" ref="I10:O10" si="4">SUM(I8:I9)</f>
        <v>1</v>
      </c>
      <c r="J10" s="184">
        <f t="shared" si="4"/>
        <v>1</v>
      </c>
      <c r="K10" s="184">
        <f t="shared" si="4"/>
        <v>0</v>
      </c>
      <c r="L10" s="184">
        <f t="shared" si="4"/>
        <v>0</v>
      </c>
      <c r="M10" s="319">
        <f t="shared" si="4"/>
        <v>17</v>
      </c>
      <c r="N10" s="184">
        <f t="shared" si="4"/>
        <v>0</v>
      </c>
      <c r="O10" s="319">
        <f t="shared" si="4"/>
        <v>17</v>
      </c>
    </row>
    <row r="11" spans="1:17" x14ac:dyDescent="0.25">
      <c r="A11" s="448" t="s">
        <v>39</v>
      </c>
      <c r="B11" s="214">
        <v>3</v>
      </c>
      <c r="C11" s="216">
        <v>2</v>
      </c>
      <c r="D11" s="216">
        <v>1</v>
      </c>
      <c r="E11" s="216">
        <v>0</v>
      </c>
      <c r="F11" s="317">
        <f>SUM(B11:E11)</f>
        <v>6</v>
      </c>
      <c r="G11" s="216">
        <v>0</v>
      </c>
      <c r="H11" s="282">
        <f t="shared" si="1"/>
        <v>6</v>
      </c>
      <c r="I11" s="216">
        <v>0</v>
      </c>
      <c r="J11" s="216">
        <v>0</v>
      </c>
      <c r="K11" s="216">
        <v>0</v>
      </c>
      <c r="L11" s="216">
        <v>0</v>
      </c>
      <c r="M11" s="398">
        <f>SUM(H11,I11,J11,K11,L11)</f>
        <v>6</v>
      </c>
      <c r="N11" s="216">
        <v>0</v>
      </c>
      <c r="O11" s="398">
        <f>SUM(M11,N11)</f>
        <v>6</v>
      </c>
    </row>
    <row r="12" spans="1:17" x14ac:dyDescent="0.25">
      <c r="A12" s="331" t="s">
        <v>40</v>
      </c>
      <c r="B12" s="197">
        <v>0</v>
      </c>
      <c r="C12" s="150">
        <v>4</v>
      </c>
      <c r="D12" s="150">
        <v>3</v>
      </c>
      <c r="E12" s="150">
        <v>1</v>
      </c>
      <c r="F12" s="317">
        <f>SUM(B12:E12)</f>
        <v>8</v>
      </c>
      <c r="G12" s="150">
        <v>0</v>
      </c>
      <c r="H12" s="161">
        <f t="shared" si="1"/>
        <v>8</v>
      </c>
      <c r="I12" s="150">
        <v>3</v>
      </c>
      <c r="J12" s="150">
        <v>0</v>
      </c>
      <c r="K12" s="150">
        <v>2</v>
      </c>
      <c r="L12" s="150">
        <v>1</v>
      </c>
      <c r="M12" s="335">
        <f>SUM(H12,I12,J12,K12,L12)</f>
        <v>14</v>
      </c>
      <c r="N12" s="150">
        <v>8</v>
      </c>
      <c r="O12" s="335">
        <f>SUM(M12,N12)</f>
        <v>22</v>
      </c>
    </row>
    <row r="13" spans="1:17" x14ac:dyDescent="0.25">
      <c r="A13" s="331" t="s">
        <v>41</v>
      </c>
      <c r="B13" s="197">
        <v>0</v>
      </c>
      <c r="C13" s="150">
        <v>0</v>
      </c>
      <c r="D13" s="150">
        <v>14</v>
      </c>
      <c r="E13" s="150">
        <v>0</v>
      </c>
      <c r="F13" s="317">
        <f>SUM(B13:E13)</f>
        <v>14</v>
      </c>
      <c r="G13" s="150">
        <v>0</v>
      </c>
      <c r="H13" s="161">
        <f t="shared" si="1"/>
        <v>14</v>
      </c>
      <c r="I13" s="150">
        <v>2</v>
      </c>
      <c r="J13" s="150">
        <v>0</v>
      </c>
      <c r="K13" s="150">
        <v>0</v>
      </c>
      <c r="L13" s="150">
        <v>1</v>
      </c>
      <c r="M13" s="335">
        <f>SUM(H13,I13,J13,K13,L13)</f>
        <v>17</v>
      </c>
      <c r="N13" s="150">
        <v>2</v>
      </c>
      <c r="O13" s="335">
        <f>SUM(M13,N13)</f>
        <v>19</v>
      </c>
    </row>
    <row r="14" spans="1:17" ht="14.25" thickBot="1" x14ac:dyDescent="0.3">
      <c r="A14" s="449" t="s">
        <v>42</v>
      </c>
      <c r="B14" s="225">
        <v>0</v>
      </c>
      <c r="C14" s="227">
        <v>10</v>
      </c>
      <c r="D14" s="227">
        <v>0</v>
      </c>
      <c r="E14" s="227">
        <v>0</v>
      </c>
      <c r="F14" s="317">
        <f>SUM(B14:E14)</f>
        <v>10</v>
      </c>
      <c r="G14" s="227">
        <v>1</v>
      </c>
      <c r="H14" s="285">
        <f t="shared" si="1"/>
        <v>11</v>
      </c>
      <c r="I14" s="227">
        <v>3</v>
      </c>
      <c r="J14" s="227">
        <v>1</v>
      </c>
      <c r="K14" s="227">
        <v>1</v>
      </c>
      <c r="L14" s="227">
        <v>0</v>
      </c>
      <c r="M14" s="397">
        <f>SUM(H14,I14,J14,K14,L14)</f>
        <v>16</v>
      </c>
      <c r="N14" s="227">
        <v>0</v>
      </c>
      <c r="O14" s="397">
        <f>SUM(M14,N14)</f>
        <v>16</v>
      </c>
    </row>
    <row r="15" spans="1:17" ht="18.75" customHeight="1" thickBot="1" x14ac:dyDescent="0.3">
      <c r="A15" s="339" t="s">
        <v>43</v>
      </c>
      <c r="B15" s="204">
        <f t="shared" ref="B15:G15" si="5">SUM(B11:B14)</f>
        <v>3</v>
      </c>
      <c r="C15" s="184">
        <f t="shared" si="5"/>
        <v>16</v>
      </c>
      <c r="D15" s="184">
        <f t="shared" si="5"/>
        <v>18</v>
      </c>
      <c r="E15" s="184">
        <f t="shared" si="5"/>
        <v>1</v>
      </c>
      <c r="F15" s="319">
        <f t="shared" si="5"/>
        <v>38</v>
      </c>
      <c r="G15" s="184">
        <f t="shared" si="5"/>
        <v>1</v>
      </c>
      <c r="H15" s="184">
        <f t="shared" si="1"/>
        <v>39</v>
      </c>
      <c r="I15" s="184">
        <f t="shared" ref="I15:O15" si="6">SUM(I11:I14)</f>
        <v>8</v>
      </c>
      <c r="J15" s="184">
        <f t="shared" si="6"/>
        <v>1</v>
      </c>
      <c r="K15" s="184">
        <f t="shared" si="6"/>
        <v>3</v>
      </c>
      <c r="L15" s="184">
        <f t="shared" si="6"/>
        <v>2</v>
      </c>
      <c r="M15" s="319">
        <f t="shared" si="6"/>
        <v>53</v>
      </c>
      <c r="N15" s="184">
        <f t="shared" si="6"/>
        <v>10</v>
      </c>
      <c r="O15" s="319">
        <f t="shared" si="6"/>
        <v>63</v>
      </c>
    </row>
    <row r="16" spans="1:17" x14ac:dyDescent="0.25">
      <c r="A16" s="448" t="s">
        <v>44</v>
      </c>
      <c r="B16" s="214">
        <v>20</v>
      </c>
      <c r="C16" s="216">
        <v>0</v>
      </c>
      <c r="D16" s="216">
        <v>7</v>
      </c>
      <c r="E16" s="216">
        <v>1</v>
      </c>
      <c r="F16" s="317">
        <f>SUM(B16:E16)</f>
        <v>28</v>
      </c>
      <c r="G16" s="216">
        <v>1</v>
      </c>
      <c r="H16" s="282">
        <f t="shared" si="1"/>
        <v>29</v>
      </c>
      <c r="I16" s="216">
        <v>2</v>
      </c>
      <c r="J16" s="216">
        <v>0</v>
      </c>
      <c r="K16" s="216">
        <v>0</v>
      </c>
      <c r="L16" s="216">
        <v>0</v>
      </c>
      <c r="M16" s="398">
        <f>SUM(H16,I16,J16,K16,L16)</f>
        <v>31</v>
      </c>
      <c r="N16" s="216">
        <v>0</v>
      </c>
      <c r="O16" s="398">
        <f>SUM(M16,N16)</f>
        <v>31</v>
      </c>
    </row>
    <row r="17" spans="1:15" x14ac:dyDescent="0.25">
      <c r="A17" s="331" t="s">
        <v>52</v>
      </c>
      <c r="B17" s="197">
        <v>0</v>
      </c>
      <c r="C17" s="150">
        <v>0</v>
      </c>
      <c r="D17" s="150">
        <v>0</v>
      </c>
      <c r="E17" s="150">
        <v>0</v>
      </c>
      <c r="F17" s="317">
        <f>SUM(B17:E17)</f>
        <v>0</v>
      </c>
      <c r="G17" s="150">
        <v>0</v>
      </c>
      <c r="H17" s="161">
        <f t="shared" si="1"/>
        <v>0</v>
      </c>
      <c r="I17" s="150">
        <v>3</v>
      </c>
      <c r="J17" s="150">
        <v>1</v>
      </c>
      <c r="K17" s="150">
        <v>0</v>
      </c>
      <c r="L17" s="150">
        <v>1</v>
      </c>
      <c r="M17" s="335">
        <f>SUM(H17,I17,J17,K17,L17)</f>
        <v>5</v>
      </c>
      <c r="N17" s="150">
        <v>1</v>
      </c>
      <c r="O17" s="335">
        <f>SUM(M17,N17)</f>
        <v>6</v>
      </c>
    </row>
    <row r="18" spans="1:15" ht="14.25" thickBot="1" x14ac:dyDescent="0.3">
      <c r="A18" s="449" t="s">
        <v>45</v>
      </c>
      <c r="B18" s="225">
        <v>2</v>
      </c>
      <c r="C18" s="227">
        <v>1</v>
      </c>
      <c r="D18" s="227">
        <v>2</v>
      </c>
      <c r="E18" s="227">
        <v>0</v>
      </c>
      <c r="F18" s="317">
        <f>SUM(B18:E18)</f>
        <v>5</v>
      </c>
      <c r="G18" s="227">
        <v>0</v>
      </c>
      <c r="H18" s="285">
        <f t="shared" si="1"/>
        <v>5</v>
      </c>
      <c r="I18" s="227">
        <v>1</v>
      </c>
      <c r="J18" s="227">
        <v>0</v>
      </c>
      <c r="K18" s="227">
        <v>2</v>
      </c>
      <c r="L18" s="227">
        <v>0</v>
      </c>
      <c r="M18" s="397">
        <f>SUM(H18,I18,J18,K18,L18)</f>
        <v>8</v>
      </c>
      <c r="N18" s="227">
        <v>1</v>
      </c>
      <c r="O18" s="397">
        <f>SUM(M18,N18)</f>
        <v>9</v>
      </c>
    </row>
    <row r="19" spans="1:15" ht="20.100000000000001" customHeight="1" thickBot="1" x14ac:dyDescent="0.3">
      <c r="A19" s="339" t="s">
        <v>46</v>
      </c>
      <c r="B19" s="204">
        <f t="shared" ref="B19:G19" si="7">SUM(B16:B18)</f>
        <v>22</v>
      </c>
      <c r="C19" s="184">
        <f t="shared" si="7"/>
        <v>1</v>
      </c>
      <c r="D19" s="184">
        <f t="shared" si="7"/>
        <v>9</v>
      </c>
      <c r="E19" s="184">
        <f t="shared" si="7"/>
        <v>1</v>
      </c>
      <c r="F19" s="319">
        <f t="shared" si="7"/>
        <v>33</v>
      </c>
      <c r="G19" s="184">
        <f t="shared" si="7"/>
        <v>1</v>
      </c>
      <c r="H19" s="184">
        <f t="shared" si="1"/>
        <v>34</v>
      </c>
      <c r="I19" s="184">
        <f t="shared" ref="I19:O19" si="8">SUM(I16:I18)</f>
        <v>6</v>
      </c>
      <c r="J19" s="184">
        <f t="shared" si="8"/>
        <v>1</v>
      </c>
      <c r="K19" s="184">
        <f t="shared" si="8"/>
        <v>2</v>
      </c>
      <c r="L19" s="184">
        <f t="shared" si="8"/>
        <v>1</v>
      </c>
      <c r="M19" s="319">
        <f t="shared" si="8"/>
        <v>44</v>
      </c>
      <c r="N19" s="184">
        <f t="shared" si="8"/>
        <v>2</v>
      </c>
      <c r="O19" s="319">
        <f t="shared" si="8"/>
        <v>46</v>
      </c>
    </row>
    <row r="20" spans="1:15" ht="18.75" customHeight="1" thickBot="1" x14ac:dyDescent="0.3">
      <c r="A20" s="339" t="s">
        <v>47</v>
      </c>
      <c r="B20" s="184">
        <f t="shared" ref="B20:G20" si="9">SUM(B7,B10,B15,B19)</f>
        <v>31</v>
      </c>
      <c r="C20" s="184">
        <f t="shared" si="9"/>
        <v>17</v>
      </c>
      <c r="D20" s="184">
        <f t="shared" si="9"/>
        <v>33</v>
      </c>
      <c r="E20" s="184">
        <f t="shared" si="9"/>
        <v>5</v>
      </c>
      <c r="F20" s="319">
        <f t="shared" si="9"/>
        <v>86</v>
      </c>
      <c r="G20" s="184">
        <f t="shared" si="9"/>
        <v>3</v>
      </c>
      <c r="H20" s="184">
        <f>SUM(F20:G20)</f>
        <v>89</v>
      </c>
      <c r="I20" s="184">
        <f t="shared" ref="I20:O20" si="10">SUM(I7,I10,I15,I19)</f>
        <v>15</v>
      </c>
      <c r="J20" s="184">
        <f t="shared" si="10"/>
        <v>4</v>
      </c>
      <c r="K20" s="184">
        <f t="shared" si="10"/>
        <v>5</v>
      </c>
      <c r="L20" s="184">
        <f t="shared" si="10"/>
        <v>3</v>
      </c>
      <c r="M20" s="319">
        <f t="shared" si="10"/>
        <v>116</v>
      </c>
      <c r="N20" s="184">
        <f t="shared" si="10"/>
        <v>12</v>
      </c>
      <c r="O20" s="319">
        <f t="shared" si="10"/>
        <v>128</v>
      </c>
    </row>
    <row r="21" spans="1:15" hidden="1" x14ac:dyDescent="0.25">
      <c r="A21" s="811" t="s">
        <v>206</v>
      </c>
      <c r="B21" s="797"/>
      <c r="C21" s="812"/>
      <c r="D21" s="812"/>
      <c r="E21" s="813"/>
      <c r="F21" s="814"/>
      <c r="G21" s="815"/>
      <c r="H21" s="814"/>
      <c r="I21" s="797"/>
      <c r="J21" s="812"/>
      <c r="K21" s="812"/>
      <c r="L21" s="813"/>
      <c r="M21" s="814"/>
      <c r="N21" s="815"/>
      <c r="O21" s="814"/>
    </row>
    <row r="22" spans="1:15" ht="14.25" thickBot="1" x14ac:dyDescent="0.3">
      <c r="A22" s="451" t="s">
        <v>294</v>
      </c>
      <c r="B22" s="452">
        <f>B20+B21</f>
        <v>31</v>
      </c>
      <c r="C22" s="452">
        <f t="shared" ref="C22:O22" si="11">C20+C21</f>
        <v>17</v>
      </c>
      <c r="D22" s="452">
        <f t="shared" si="11"/>
        <v>33</v>
      </c>
      <c r="E22" s="453">
        <f t="shared" si="11"/>
        <v>5</v>
      </c>
      <c r="F22" s="321">
        <f t="shared" si="11"/>
        <v>86</v>
      </c>
      <c r="G22" s="453">
        <f t="shared" si="11"/>
        <v>3</v>
      </c>
      <c r="H22" s="321">
        <f t="shared" si="11"/>
        <v>89</v>
      </c>
      <c r="I22" s="452">
        <f t="shared" si="11"/>
        <v>15</v>
      </c>
      <c r="J22" s="452">
        <f t="shared" si="11"/>
        <v>4</v>
      </c>
      <c r="K22" s="452">
        <f t="shared" si="11"/>
        <v>5</v>
      </c>
      <c r="L22" s="453">
        <f t="shared" si="11"/>
        <v>3</v>
      </c>
      <c r="M22" s="321">
        <f t="shared" si="11"/>
        <v>116</v>
      </c>
      <c r="N22" s="453">
        <f t="shared" si="11"/>
        <v>12</v>
      </c>
      <c r="O22" s="321">
        <f t="shared" si="11"/>
        <v>128</v>
      </c>
    </row>
    <row r="23" spans="1:15" ht="14.25" thickBot="1" x14ac:dyDescent="0.3">
      <c r="H23" s="123"/>
    </row>
    <row r="24" spans="1:15" ht="14.25" thickBot="1" x14ac:dyDescent="0.3">
      <c r="A24" s="314">
        <f>O22</f>
        <v>128</v>
      </c>
      <c r="B24" s="406" t="s">
        <v>116</v>
      </c>
      <c r="C24" s="406"/>
      <c r="D24" s="407"/>
      <c r="E24" s="454">
        <f>'Anlage 1a'!T45</f>
        <v>980</v>
      </c>
      <c r="F24" s="406" t="s">
        <v>117</v>
      </c>
      <c r="G24" s="407"/>
      <c r="H24" s="406" t="s">
        <v>118</v>
      </c>
      <c r="I24" s="406"/>
      <c r="J24" s="406"/>
      <c r="K24" s="406"/>
      <c r="L24" s="406"/>
      <c r="M24" s="406"/>
      <c r="N24" s="410">
        <f>A24/E24*100</f>
        <v>13.061224489795919</v>
      </c>
      <c r="O24" s="320" t="s">
        <v>50</v>
      </c>
    </row>
  </sheetData>
  <customSheetViews>
    <customSheetView guid="{0224233B-564D-4BBC-A6B2-E639E6D2CFB3}" showPageBreaks="1" hiddenRow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view="pageLayout" zoomScaleNormal="110" zoomScaleSheetLayoutView="100" workbookViewId="0">
      <selection activeCell="O18" sqref="O18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126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127</v>
      </c>
      <c r="B5" s="412" t="s">
        <v>102</v>
      </c>
      <c r="C5" s="412" t="s">
        <v>103</v>
      </c>
      <c r="D5" s="412" t="s">
        <v>104</v>
      </c>
      <c r="E5" s="412" t="s">
        <v>105</v>
      </c>
      <c r="F5" s="414" t="s">
        <v>106</v>
      </c>
      <c r="G5" s="412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6.5" customHeight="1" thickBot="1" x14ac:dyDescent="0.3">
      <c r="A6" s="446" t="s">
        <v>36</v>
      </c>
      <c r="B6" s="197">
        <v>1</v>
      </c>
      <c r="C6" s="150">
        <v>0</v>
      </c>
      <c r="D6" s="150">
        <v>0</v>
      </c>
      <c r="E6" s="150">
        <v>0</v>
      </c>
      <c r="F6" s="317">
        <f>SUM(B6:E6)</f>
        <v>1</v>
      </c>
      <c r="G6" s="150">
        <v>0</v>
      </c>
      <c r="H6" s="161">
        <f>SUM(F6:G6)</f>
        <v>1</v>
      </c>
      <c r="I6" s="150">
        <v>0</v>
      </c>
      <c r="J6" s="150">
        <v>1</v>
      </c>
      <c r="K6" s="150">
        <v>0</v>
      </c>
      <c r="L6" s="150">
        <v>0</v>
      </c>
      <c r="M6" s="335">
        <f>SUM(H6,I6,J6,K6,L6)</f>
        <v>2</v>
      </c>
      <c r="N6" s="150">
        <v>0</v>
      </c>
      <c r="O6" s="335">
        <f>SUM(M6,N6)</f>
        <v>2</v>
      </c>
    </row>
    <row r="7" spans="1:17" ht="18.75" customHeight="1" thickBot="1" x14ac:dyDescent="0.3">
      <c r="A7" s="339" t="s">
        <v>38</v>
      </c>
      <c r="B7" s="204">
        <f t="shared" ref="B7:G7" si="0">SUM(B6:B6)</f>
        <v>1</v>
      </c>
      <c r="C7" s="184">
        <f t="shared" si="0"/>
        <v>0</v>
      </c>
      <c r="D7" s="184">
        <f t="shared" si="0"/>
        <v>0</v>
      </c>
      <c r="E7" s="184">
        <f t="shared" si="0"/>
        <v>0</v>
      </c>
      <c r="F7" s="319">
        <f t="shared" si="0"/>
        <v>1</v>
      </c>
      <c r="G7" s="184">
        <f t="shared" si="0"/>
        <v>0</v>
      </c>
      <c r="H7" s="184">
        <f t="shared" ref="H7:H20" si="1">SUM(F7:G7)</f>
        <v>1</v>
      </c>
      <c r="I7" s="184">
        <f t="shared" ref="I7:O7" si="2">SUM(I6:I6)</f>
        <v>0</v>
      </c>
      <c r="J7" s="184">
        <f t="shared" si="2"/>
        <v>1</v>
      </c>
      <c r="K7" s="184">
        <f t="shared" si="2"/>
        <v>0</v>
      </c>
      <c r="L7" s="184">
        <f t="shared" si="2"/>
        <v>0</v>
      </c>
      <c r="M7" s="319">
        <f t="shared" si="2"/>
        <v>2</v>
      </c>
      <c r="N7" s="184">
        <f t="shared" si="2"/>
        <v>0</v>
      </c>
      <c r="O7" s="319">
        <f t="shared" si="2"/>
        <v>2</v>
      </c>
    </row>
    <row r="8" spans="1:17" ht="14.25" thickBot="1" x14ac:dyDescent="0.3">
      <c r="A8" s="205" t="s">
        <v>56</v>
      </c>
      <c r="B8" s="214">
        <v>5</v>
      </c>
      <c r="C8" s="216">
        <v>0</v>
      </c>
      <c r="D8" s="216">
        <v>5</v>
      </c>
      <c r="E8" s="216">
        <v>10</v>
      </c>
      <c r="F8" s="317">
        <f>SUM(B8:E8)</f>
        <v>20</v>
      </c>
      <c r="G8" s="216">
        <v>0</v>
      </c>
      <c r="H8" s="282">
        <f t="shared" si="1"/>
        <v>20</v>
      </c>
      <c r="I8" s="216">
        <v>0</v>
      </c>
      <c r="J8" s="216">
        <v>0</v>
      </c>
      <c r="K8" s="216">
        <v>1</v>
      </c>
      <c r="L8" s="216">
        <v>1</v>
      </c>
      <c r="M8" s="398">
        <f>SUM(H8,I8,J8,K8,L8)</f>
        <v>22</v>
      </c>
      <c r="N8" s="216">
        <v>0</v>
      </c>
      <c r="O8" s="398">
        <f>SUM(M8,N8)</f>
        <v>22</v>
      </c>
    </row>
    <row r="9" spans="1:17" ht="14.25" hidden="1" thickBot="1" x14ac:dyDescent="0.3">
      <c r="A9" s="662" t="s">
        <v>177</v>
      </c>
      <c r="B9" s="669"/>
      <c r="C9" s="671"/>
      <c r="D9" s="671"/>
      <c r="E9" s="671"/>
      <c r="F9" s="789"/>
      <c r="G9" s="671"/>
      <c r="H9" s="667"/>
      <c r="I9" s="671"/>
      <c r="J9" s="671"/>
      <c r="K9" s="671"/>
      <c r="L9" s="671"/>
      <c r="M9" s="817"/>
      <c r="N9" s="671"/>
      <c r="O9" s="817"/>
    </row>
    <row r="10" spans="1:17" ht="18" customHeight="1" thickBot="1" x14ac:dyDescent="0.3">
      <c r="A10" s="318" t="s">
        <v>55</v>
      </c>
      <c r="B10" s="204">
        <f t="shared" ref="B10:G10" si="3">SUM(B8:B9)</f>
        <v>5</v>
      </c>
      <c r="C10" s="184">
        <f t="shared" si="3"/>
        <v>0</v>
      </c>
      <c r="D10" s="184">
        <f t="shared" si="3"/>
        <v>5</v>
      </c>
      <c r="E10" s="184">
        <f t="shared" si="3"/>
        <v>10</v>
      </c>
      <c r="F10" s="319">
        <f t="shared" si="3"/>
        <v>20</v>
      </c>
      <c r="G10" s="184">
        <f t="shared" si="3"/>
        <v>0</v>
      </c>
      <c r="H10" s="184">
        <f t="shared" si="1"/>
        <v>20</v>
      </c>
      <c r="I10" s="184">
        <f t="shared" ref="I10:O10" si="4">SUM(I8:I9)</f>
        <v>0</v>
      </c>
      <c r="J10" s="184">
        <f t="shared" si="4"/>
        <v>0</v>
      </c>
      <c r="K10" s="184">
        <f t="shared" si="4"/>
        <v>1</v>
      </c>
      <c r="L10" s="184">
        <f t="shared" si="4"/>
        <v>1</v>
      </c>
      <c r="M10" s="319">
        <f t="shared" si="4"/>
        <v>22</v>
      </c>
      <c r="N10" s="184">
        <f t="shared" si="4"/>
        <v>0</v>
      </c>
      <c r="O10" s="319">
        <f t="shared" si="4"/>
        <v>22</v>
      </c>
    </row>
    <row r="11" spans="1:17" x14ac:dyDescent="0.25">
      <c r="A11" s="448" t="s">
        <v>39</v>
      </c>
      <c r="B11" s="214">
        <v>5</v>
      </c>
      <c r="C11" s="216">
        <v>2</v>
      </c>
      <c r="D11" s="216">
        <v>1</v>
      </c>
      <c r="E11" s="216">
        <v>1</v>
      </c>
      <c r="F11" s="317">
        <f>SUM(B11:E11)</f>
        <v>9</v>
      </c>
      <c r="G11" s="216">
        <v>0</v>
      </c>
      <c r="H11" s="282">
        <f t="shared" si="1"/>
        <v>9</v>
      </c>
      <c r="I11" s="216">
        <v>0</v>
      </c>
      <c r="J11" s="216">
        <v>0</v>
      </c>
      <c r="K11" s="216">
        <v>0</v>
      </c>
      <c r="L11" s="216">
        <v>0</v>
      </c>
      <c r="M11" s="398">
        <f>SUM(H11,I11,J11,K11,L11)</f>
        <v>9</v>
      </c>
      <c r="N11" s="216">
        <v>0</v>
      </c>
      <c r="O11" s="398">
        <f>SUM(M11,N11)</f>
        <v>9</v>
      </c>
    </row>
    <row r="12" spans="1:17" x14ac:dyDescent="0.25">
      <c r="A12" s="331" t="s">
        <v>40</v>
      </c>
      <c r="B12" s="197">
        <v>1</v>
      </c>
      <c r="C12" s="150">
        <v>3</v>
      </c>
      <c r="D12" s="150">
        <v>4</v>
      </c>
      <c r="E12" s="150">
        <v>4</v>
      </c>
      <c r="F12" s="317">
        <f>SUM(B12:E12)</f>
        <v>12</v>
      </c>
      <c r="G12" s="150">
        <v>1</v>
      </c>
      <c r="H12" s="161">
        <f t="shared" si="1"/>
        <v>13</v>
      </c>
      <c r="I12" s="150">
        <v>5</v>
      </c>
      <c r="J12" s="150">
        <v>0</v>
      </c>
      <c r="K12" s="150">
        <v>0</v>
      </c>
      <c r="L12" s="150">
        <v>0</v>
      </c>
      <c r="M12" s="335">
        <f>SUM(H12,I12,J12,K12,L12)</f>
        <v>18</v>
      </c>
      <c r="N12" s="150">
        <v>9</v>
      </c>
      <c r="O12" s="335">
        <f>SUM(M12,N12)</f>
        <v>27</v>
      </c>
    </row>
    <row r="13" spans="1:17" x14ac:dyDescent="0.25">
      <c r="A13" s="331" t="s">
        <v>41</v>
      </c>
      <c r="B13" s="197">
        <v>1</v>
      </c>
      <c r="C13" s="150">
        <v>0</v>
      </c>
      <c r="D13" s="150">
        <v>4</v>
      </c>
      <c r="E13" s="150">
        <v>0</v>
      </c>
      <c r="F13" s="317">
        <f>SUM(B13:E13)</f>
        <v>5</v>
      </c>
      <c r="G13" s="150">
        <v>0</v>
      </c>
      <c r="H13" s="161">
        <f t="shared" si="1"/>
        <v>5</v>
      </c>
      <c r="I13" s="150">
        <v>1</v>
      </c>
      <c r="J13" s="150">
        <v>0</v>
      </c>
      <c r="K13" s="150">
        <v>0</v>
      </c>
      <c r="L13" s="150">
        <v>1</v>
      </c>
      <c r="M13" s="335">
        <f>SUM(H13,I13,J13,K13,L13)</f>
        <v>7</v>
      </c>
      <c r="N13" s="150">
        <v>0</v>
      </c>
      <c r="O13" s="335">
        <f>SUM(M13,N13)</f>
        <v>7</v>
      </c>
    </row>
    <row r="14" spans="1:17" ht="14.25" thickBot="1" x14ac:dyDescent="0.3">
      <c r="A14" s="449" t="s">
        <v>42</v>
      </c>
      <c r="B14" s="225">
        <v>1</v>
      </c>
      <c r="C14" s="227">
        <v>6</v>
      </c>
      <c r="D14" s="227">
        <v>1</v>
      </c>
      <c r="E14" s="227">
        <v>0</v>
      </c>
      <c r="F14" s="317">
        <f>SUM(B14:E14)</f>
        <v>8</v>
      </c>
      <c r="G14" s="227">
        <v>0</v>
      </c>
      <c r="H14" s="285">
        <f t="shared" si="1"/>
        <v>8</v>
      </c>
      <c r="I14" s="227">
        <v>0</v>
      </c>
      <c r="J14" s="227">
        <v>4</v>
      </c>
      <c r="K14" s="227">
        <v>16</v>
      </c>
      <c r="L14" s="227">
        <v>0</v>
      </c>
      <c r="M14" s="397">
        <f>SUM(H14,I14,J14,K14,L14)</f>
        <v>28</v>
      </c>
      <c r="N14" s="227">
        <v>0</v>
      </c>
      <c r="O14" s="397">
        <f>SUM(M14,N14)</f>
        <v>28</v>
      </c>
    </row>
    <row r="15" spans="1:17" ht="17.25" customHeight="1" thickBot="1" x14ac:dyDescent="0.3">
      <c r="A15" s="339" t="s">
        <v>43</v>
      </c>
      <c r="B15" s="204">
        <f t="shared" ref="B15:G15" si="5">SUM(B11:B14)</f>
        <v>8</v>
      </c>
      <c r="C15" s="184">
        <f t="shared" si="5"/>
        <v>11</v>
      </c>
      <c r="D15" s="184">
        <f t="shared" si="5"/>
        <v>10</v>
      </c>
      <c r="E15" s="184">
        <f t="shared" si="5"/>
        <v>5</v>
      </c>
      <c r="F15" s="319">
        <f t="shared" si="5"/>
        <v>34</v>
      </c>
      <c r="G15" s="184">
        <f t="shared" si="5"/>
        <v>1</v>
      </c>
      <c r="H15" s="184">
        <f t="shared" si="1"/>
        <v>35</v>
      </c>
      <c r="I15" s="184">
        <f t="shared" ref="I15:O15" si="6">SUM(I11:I14)</f>
        <v>6</v>
      </c>
      <c r="J15" s="184">
        <f t="shared" si="6"/>
        <v>4</v>
      </c>
      <c r="K15" s="184">
        <f t="shared" si="6"/>
        <v>16</v>
      </c>
      <c r="L15" s="184">
        <f t="shared" si="6"/>
        <v>1</v>
      </c>
      <c r="M15" s="319">
        <f t="shared" si="6"/>
        <v>62</v>
      </c>
      <c r="N15" s="184">
        <f t="shared" si="6"/>
        <v>9</v>
      </c>
      <c r="O15" s="319">
        <f t="shared" si="6"/>
        <v>71</v>
      </c>
    </row>
    <row r="16" spans="1:17" x14ac:dyDescent="0.25">
      <c r="A16" s="448" t="s">
        <v>44</v>
      </c>
      <c r="B16" s="214">
        <v>12</v>
      </c>
      <c r="C16" s="216">
        <v>0</v>
      </c>
      <c r="D16" s="216">
        <v>6</v>
      </c>
      <c r="E16" s="216">
        <v>0</v>
      </c>
      <c r="F16" s="317">
        <f>SUM(B16:E16)</f>
        <v>18</v>
      </c>
      <c r="G16" s="216">
        <v>1</v>
      </c>
      <c r="H16" s="282">
        <f t="shared" si="1"/>
        <v>19</v>
      </c>
      <c r="I16" s="216">
        <v>0</v>
      </c>
      <c r="J16" s="216">
        <v>0</v>
      </c>
      <c r="K16" s="216">
        <v>0</v>
      </c>
      <c r="L16" s="216">
        <v>0</v>
      </c>
      <c r="M16" s="398">
        <f>SUM(H16,I16,J16,K16,L16)</f>
        <v>19</v>
      </c>
      <c r="N16" s="216">
        <v>0</v>
      </c>
      <c r="O16" s="398">
        <f>SUM(M16,N16)</f>
        <v>19</v>
      </c>
    </row>
    <row r="17" spans="1:15" x14ac:dyDescent="0.25">
      <c r="A17" s="331" t="s">
        <v>52</v>
      </c>
      <c r="B17" s="197">
        <v>0</v>
      </c>
      <c r="C17" s="150">
        <v>0</v>
      </c>
      <c r="D17" s="150">
        <v>1</v>
      </c>
      <c r="E17" s="150">
        <v>0</v>
      </c>
      <c r="F17" s="317">
        <f>SUM(B17:E17)</f>
        <v>1</v>
      </c>
      <c r="G17" s="150">
        <v>0</v>
      </c>
      <c r="H17" s="161">
        <f t="shared" si="1"/>
        <v>1</v>
      </c>
      <c r="I17" s="150">
        <v>1</v>
      </c>
      <c r="J17" s="150">
        <v>1</v>
      </c>
      <c r="K17" s="150">
        <v>0</v>
      </c>
      <c r="L17" s="150">
        <v>0</v>
      </c>
      <c r="M17" s="335">
        <f>SUM(H17,I17,J17,K17,L17)</f>
        <v>3</v>
      </c>
      <c r="N17" s="150">
        <v>0</v>
      </c>
      <c r="O17" s="335">
        <f>SUM(M17,N17)</f>
        <v>3</v>
      </c>
    </row>
    <row r="18" spans="1:15" ht="14.25" thickBot="1" x14ac:dyDescent="0.3">
      <c r="A18" s="449" t="s">
        <v>45</v>
      </c>
      <c r="B18" s="225">
        <v>3</v>
      </c>
      <c r="C18" s="227">
        <v>1</v>
      </c>
      <c r="D18" s="227">
        <v>1</v>
      </c>
      <c r="E18" s="227">
        <v>0</v>
      </c>
      <c r="F18" s="317">
        <f>SUM(B18:E18)</f>
        <v>5</v>
      </c>
      <c r="G18" s="227">
        <v>0</v>
      </c>
      <c r="H18" s="285">
        <f t="shared" si="1"/>
        <v>5</v>
      </c>
      <c r="I18" s="227">
        <v>1</v>
      </c>
      <c r="J18" s="227">
        <v>1</v>
      </c>
      <c r="K18" s="227">
        <v>1</v>
      </c>
      <c r="L18" s="227">
        <v>0</v>
      </c>
      <c r="M18" s="397">
        <f>SUM(H18,I18,J18,K18,L18)</f>
        <v>8</v>
      </c>
      <c r="N18" s="227">
        <v>0</v>
      </c>
      <c r="O18" s="397">
        <f>SUM(M18,N18)</f>
        <v>8</v>
      </c>
    </row>
    <row r="19" spans="1:15" ht="20.100000000000001" customHeight="1" thickBot="1" x14ac:dyDescent="0.3">
      <c r="A19" s="339" t="s">
        <v>46</v>
      </c>
      <c r="B19" s="204">
        <f t="shared" ref="B19:G19" si="7">SUM(B16:B18)</f>
        <v>15</v>
      </c>
      <c r="C19" s="184">
        <f t="shared" si="7"/>
        <v>1</v>
      </c>
      <c r="D19" s="184">
        <f t="shared" si="7"/>
        <v>8</v>
      </c>
      <c r="E19" s="184">
        <f t="shared" si="7"/>
        <v>0</v>
      </c>
      <c r="F19" s="319">
        <f t="shared" si="7"/>
        <v>24</v>
      </c>
      <c r="G19" s="184">
        <f t="shared" si="7"/>
        <v>1</v>
      </c>
      <c r="H19" s="184">
        <f t="shared" si="1"/>
        <v>25</v>
      </c>
      <c r="I19" s="184">
        <f t="shared" ref="I19:O19" si="8">SUM(I16:I18)</f>
        <v>2</v>
      </c>
      <c r="J19" s="184">
        <f t="shared" si="8"/>
        <v>2</v>
      </c>
      <c r="K19" s="184">
        <f t="shared" si="8"/>
        <v>1</v>
      </c>
      <c r="L19" s="184">
        <f t="shared" si="8"/>
        <v>0</v>
      </c>
      <c r="M19" s="319">
        <f t="shared" si="8"/>
        <v>30</v>
      </c>
      <c r="N19" s="184">
        <f t="shared" si="8"/>
        <v>0</v>
      </c>
      <c r="O19" s="319">
        <f t="shared" si="8"/>
        <v>30</v>
      </c>
    </row>
    <row r="20" spans="1:15" ht="21" customHeight="1" thickBot="1" x14ac:dyDescent="0.3">
      <c r="A20" s="339" t="s">
        <v>47</v>
      </c>
      <c r="B20" s="184">
        <f t="shared" ref="B20:G20" si="9">SUM(B7,B10,B15,B19)</f>
        <v>29</v>
      </c>
      <c r="C20" s="184">
        <f t="shared" si="9"/>
        <v>12</v>
      </c>
      <c r="D20" s="184">
        <f t="shared" si="9"/>
        <v>23</v>
      </c>
      <c r="E20" s="184">
        <f t="shared" si="9"/>
        <v>15</v>
      </c>
      <c r="F20" s="319">
        <f t="shared" si="9"/>
        <v>79</v>
      </c>
      <c r="G20" s="184">
        <f t="shared" si="9"/>
        <v>2</v>
      </c>
      <c r="H20" s="184">
        <f t="shared" si="1"/>
        <v>81</v>
      </c>
      <c r="I20" s="184">
        <f t="shared" ref="I20:O20" si="10">SUM(I7,I10,I15,I19)</f>
        <v>8</v>
      </c>
      <c r="J20" s="184">
        <f t="shared" si="10"/>
        <v>7</v>
      </c>
      <c r="K20" s="184">
        <f t="shared" si="10"/>
        <v>18</v>
      </c>
      <c r="L20" s="184">
        <f t="shared" si="10"/>
        <v>2</v>
      </c>
      <c r="M20" s="319">
        <f t="shared" si="10"/>
        <v>116</v>
      </c>
      <c r="N20" s="184">
        <f t="shared" si="10"/>
        <v>9</v>
      </c>
      <c r="O20" s="319">
        <f t="shared" si="10"/>
        <v>125</v>
      </c>
    </row>
    <row r="21" spans="1:15" hidden="1" x14ac:dyDescent="0.25">
      <c r="A21" s="811" t="s">
        <v>206</v>
      </c>
      <c r="B21" s="797"/>
      <c r="C21" s="812"/>
      <c r="D21" s="812"/>
      <c r="E21" s="813"/>
      <c r="F21" s="814"/>
      <c r="G21" s="815"/>
      <c r="H21" s="814"/>
      <c r="I21" s="797"/>
      <c r="J21" s="812"/>
      <c r="K21" s="812"/>
      <c r="L21" s="813"/>
      <c r="M21" s="814"/>
      <c r="N21" s="815"/>
      <c r="O21" s="814"/>
    </row>
    <row r="22" spans="1:15" ht="14.25" thickBot="1" x14ac:dyDescent="0.3">
      <c r="A22" s="451" t="s">
        <v>294</v>
      </c>
      <c r="B22" s="452">
        <f>B20+B21</f>
        <v>29</v>
      </c>
      <c r="C22" s="452">
        <f t="shared" ref="C22:O22" si="11">C20+C21</f>
        <v>12</v>
      </c>
      <c r="D22" s="452">
        <f t="shared" si="11"/>
        <v>23</v>
      </c>
      <c r="E22" s="453">
        <f t="shared" si="11"/>
        <v>15</v>
      </c>
      <c r="F22" s="321">
        <f t="shared" si="11"/>
        <v>79</v>
      </c>
      <c r="G22" s="453">
        <f t="shared" si="11"/>
        <v>2</v>
      </c>
      <c r="H22" s="321">
        <f t="shared" si="11"/>
        <v>81</v>
      </c>
      <c r="I22" s="452">
        <f t="shared" si="11"/>
        <v>8</v>
      </c>
      <c r="J22" s="452">
        <f t="shared" si="11"/>
        <v>7</v>
      </c>
      <c r="K22" s="452">
        <f t="shared" si="11"/>
        <v>18</v>
      </c>
      <c r="L22" s="453">
        <f t="shared" si="11"/>
        <v>2</v>
      </c>
      <c r="M22" s="321">
        <f t="shared" si="11"/>
        <v>116</v>
      </c>
      <c r="N22" s="453">
        <f t="shared" si="11"/>
        <v>9</v>
      </c>
      <c r="O22" s="321">
        <f t="shared" si="11"/>
        <v>125</v>
      </c>
    </row>
    <row r="23" spans="1:15" ht="14.25" thickBot="1" x14ac:dyDescent="0.3">
      <c r="H23" s="123"/>
    </row>
    <row r="24" spans="1:15" ht="14.25" thickBot="1" x14ac:dyDescent="0.3">
      <c r="A24" s="314">
        <f>O22</f>
        <v>125</v>
      </c>
      <c r="B24" s="406" t="s">
        <v>116</v>
      </c>
      <c r="C24" s="406"/>
      <c r="D24" s="407"/>
      <c r="E24" s="454">
        <f>'Anlage 1a'!V45</f>
        <v>995</v>
      </c>
      <c r="F24" s="406" t="s">
        <v>117</v>
      </c>
      <c r="G24" s="407"/>
      <c r="H24" s="406" t="s">
        <v>118</v>
      </c>
      <c r="I24" s="406"/>
      <c r="J24" s="406"/>
      <c r="K24" s="406"/>
      <c r="L24" s="406"/>
      <c r="M24" s="406"/>
      <c r="N24" s="410">
        <f>A24/E24*100</f>
        <v>12.562814070351758</v>
      </c>
      <c r="O24" s="320" t="s">
        <v>50</v>
      </c>
    </row>
    <row r="27" spans="1:15" x14ac:dyDescent="0.25">
      <c r="A27" s="3" t="s">
        <v>53</v>
      </c>
    </row>
  </sheetData>
  <customSheetViews>
    <customSheetView guid="{0224233B-564D-4BBC-A6B2-E639E6D2CFB3}" showPageBreaks="1" printArea="1" hiddenRow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view="pageLayout" zoomScaleNormal="110" zoomScaleSheetLayoutView="100" workbookViewId="0">
      <selection activeCell="O18" sqref="O18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128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129</v>
      </c>
      <c r="B5" s="412" t="s">
        <v>102</v>
      </c>
      <c r="C5" s="412" t="s">
        <v>103</v>
      </c>
      <c r="D5" s="412" t="s">
        <v>104</v>
      </c>
      <c r="E5" s="413" t="s">
        <v>105</v>
      </c>
      <c r="F5" s="414" t="s">
        <v>106</v>
      </c>
      <c r="G5" s="415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4.25" thickBot="1" x14ac:dyDescent="0.3">
      <c r="A6" s="446" t="s">
        <v>36</v>
      </c>
      <c r="B6" s="197">
        <v>3</v>
      </c>
      <c r="C6" s="150">
        <v>0</v>
      </c>
      <c r="D6" s="150">
        <v>0</v>
      </c>
      <c r="E6" s="150">
        <v>0</v>
      </c>
      <c r="F6" s="317">
        <f>SUM(B6:E6)</f>
        <v>3</v>
      </c>
      <c r="G6" s="150">
        <v>0</v>
      </c>
      <c r="H6" s="161">
        <f>SUM(F6:G6)</f>
        <v>3</v>
      </c>
      <c r="I6" s="150">
        <v>0</v>
      </c>
      <c r="J6" s="150">
        <v>1</v>
      </c>
      <c r="K6" s="150">
        <v>0</v>
      </c>
      <c r="L6" s="150">
        <v>0</v>
      </c>
      <c r="M6" s="335">
        <f>SUM(H6,I6,J6,K6,L6)</f>
        <v>4</v>
      </c>
      <c r="N6" s="150">
        <v>0</v>
      </c>
      <c r="O6" s="335">
        <f>SUM(M6,N6)</f>
        <v>4</v>
      </c>
    </row>
    <row r="7" spans="1:17" ht="19.5" customHeight="1" thickBot="1" x14ac:dyDescent="0.3">
      <c r="A7" s="339" t="s">
        <v>38</v>
      </c>
      <c r="B7" s="204">
        <f t="shared" ref="B7:G7" si="0">SUM(B6:B6)</f>
        <v>3</v>
      </c>
      <c r="C7" s="184">
        <f t="shared" si="0"/>
        <v>0</v>
      </c>
      <c r="D7" s="184">
        <f t="shared" si="0"/>
        <v>0</v>
      </c>
      <c r="E7" s="249">
        <f t="shared" si="0"/>
        <v>0</v>
      </c>
      <c r="F7" s="319">
        <f t="shared" si="0"/>
        <v>3</v>
      </c>
      <c r="G7" s="204">
        <f t="shared" si="0"/>
        <v>0</v>
      </c>
      <c r="H7" s="184">
        <f t="shared" ref="H7:H20" si="1">SUM(F7:G7)</f>
        <v>3</v>
      </c>
      <c r="I7" s="184">
        <f t="shared" ref="I7:O7" si="2">SUM(I6:I6)</f>
        <v>0</v>
      </c>
      <c r="J7" s="184">
        <f t="shared" si="2"/>
        <v>1</v>
      </c>
      <c r="K7" s="184">
        <f t="shared" si="2"/>
        <v>0</v>
      </c>
      <c r="L7" s="184">
        <f t="shared" si="2"/>
        <v>0</v>
      </c>
      <c r="M7" s="319">
        <f t="shared" si="2"/>
        <v>4</v>
      </c>
      <c r="N7" s="250">
        <f t="shared" si="2"/>
        <v>0</v>
      </c>
      <c r="O7" s="319">
        <f t="shared" si="2"/>
        <v>4</v>
      </c>
    </row>
    <row r="8" spans="1:17" ht="14.25" thickBot="1" x14ac:dyDescent="0.3">
      <c r="A8" s="205" t="s">
        <v>56</v>
      </c>
      <c r="B8" s="214">
        <v>6</v>
      </c>
      <c r="C8" s="216">
        <v>2</v>
      </c>
      <c r="D8" s="216">
        <v>9</v>
      </c>
      <c r="E8" s="421">
        <v>6</v>
      </c>
      <c r="F8" s="317">
        <f>SUM(B8:E8)</f>
        <v>23</v>
      </c>
      <c r="G8" s="214">
        <v>1</v>
      </c>
      <c r="H8" s="282">
        <f t="shared" si="1"/>
        <v>24</v>
      </c>
      <c r="I8" s="216">
        <v>1</v>
      </c>
      <c r="J8" s="216">
        <v>0</v>
      </c>
      <c r="K8" s="216">
        <v>0</v>
      </c>
      <c r="L8" s="216">
        <v>0</v>
      </c>
      <c r="M8" s="398">
        <f>SUM(H8,I8,J8,K8,L8)</f>
        <v>25</v>
      </c>
      <c r="N8" s="216">
        <v>0</v>
      </c>
      <c r="O8" s="398">
        <f>SUM(M8,N8)</f>
        <v>25</v>
      </c>
    </row>
    <row r="9" spans="1:17" ht="14.25" hidden="1" thickBot="1" x14ac:dyDescent="0.3">
      <c r="A9" s="662" t="s">
        <v>177</v>
      </c>
      <c r="B9" s="669"/>
      <c r="C9" s="671"/>
      <c r="D9" s="671"/>
      <c r="E9" s="818"/>
      <c r="F9" s="789"/>
      <c r="G9" s="669"/>
      <c r="H9" s="667"/>
      <c r="I9" s="671"/>
      <c r="J9" s="671"/>
      <c r="K9" s="671"/>
      <c r="L9" s="671"/>
      <c r="M9" s="817"/>
      <c r="N9" s="671"/>
      <c r="O9" s="817"/>
    </row>
    <row r="10" spans="1:17" ht="16.5" customHeight="1" thickBot="1" x14ac:dyDescent="0.3">
      <c r="A10" s="318" t="s">
        <v>55</v>
      </c>
      <c r="B10" s="204">
        <f t="shared" ref="B10:G10" si="3">SUM(B8:B9)</f>
        <v>6</v>
      </c>
      <c r="C10" s="184">
        <f t="shared" si="3"/>
        <v>2</v>
      </c>
      <c r="D10" s="184">
        <f t="shared" si="3"/>
        <v>9</v>
      </c>
      <c r="E10" s="249">
        <f t="shared" si="3"/>
        <v>6</v>
      </c>
      <c r="F10" s="319">
        <f t="shared" si="3"/>
        <v>23</v>
      </c>
      <c r="G10" s="204">
        <f t="shared" si="3"/>
        <v>1</v>
      </c>
      <c r="H10" s="184">
        <f t="shared" si="1"/>
        <v>24</v>
      </c>
      <c r="I10" s="184">
        <f t="shared" ref="I10:O10" si="4">SUM(I8:I9)</f>
        <v>1</v>
      </c>
      <c r="J10" s="184">
        <f t="shared" si="4"/>
        <v>0</v>
      </c>
      <c r="K10" s="184">
        <f t="shared" si="4"/>
        <v>0</v>
      </c>
      <c r="L10" s="184">
        <f t="shared" si="4"/>
        <v>0</v>
      </c>
      <c r="M10" s="319">
        <f t="shared" si="4"/>
        <v>25</v>
      </c>
      <c r="N10" s="184">
        <f t="shared" si="4"/>
        <v>0</v>
      </c>
      <c r="O10" s="319">
        <f t="shared" si="4"/>
        <v>25</v>
      </c>
    </row>
    <row r="11" spans="1:17" x14ac:dyDescent="0.25">
      <c r="A11" s="448" t="s">
        <v>39</v>
      </c>
      <c r="B11" s="591"/>
      <c r="C11" s="593"/>
      <c r="D11" s="593"/>
      <c r="E11" s="625"/>
      <c r="F11" s="626">
        <f>SUM(B11:E11)</f>
        <v>0</v>
      </c>
      <c r="G11" s="591"/>
      <c r="H11" s="584">
        <f t="shared" si="1"/>
        <v>0</v>
      </c>
      <c r="I11" s="593"/>
      <c r="J11" s="593"/>
      <c r="K11" s="593"/>
      <c r="L11" s="593"/>
      <c r="M11" s="594">
        <f>SUM(H11,I11,J11,K11,L11)</f>
        <v>0</v>
      </c>
      <c r="N11" s="593"/>
      <c r="O11" s="398">
        <f>SUM(M11,N11)</f>
        <v>0</v>
      </c>
    </row>
    <row r="12" spans="1:17" x14ac:dyDescent="0.25">
      <c r="A12" s="331" t="s">
        <v>40</v>
      </c>
      <c r="B12" s="581"/>
      <c r="C12" s="585"/>
      <c r="D12" s="585"/>
      <c r="E12" s="627"/>
      <c r="F12" s="626">
        <f>SUM(B12:E12)</f>
        <v>0</v>
      </c>
      <c r="G12" s="581"/>
      <c r="H12" s="628">
        <f t="shared" si="1"/>
        <v>0</v>
      </c>
      <c r="I12" s="585"/>
      <c r="J12" s="585"/>
      <c r="K12" s="585"/>
      <c r="L12" s="585"/>
      <c r="M12" s="586">
        <f>SUM(H12,I12,J12,K12,L12)</f>
        <v>0</v>
      </c>
      <c r="N12" s="585"/>
      <c r="O12" s="335">
        <f>SUM(M12,N12)</f>
        <v>0</v>
      </c>
    </row>
    <row r="13" spans="1:17" x14ac:dyDescent="0.25">
      <c r="A13" s="331" t="s">
        <v>41</v>
      </c>
      <c r="B13" s="581"/>
      <c r="C13" s="585"/>
      <c r="D13" s="585"/>
      <c r="E13" s="627"/>
      <c r="F13" s="626">
        <f>SUM(B13:E13)</f>
        <v>0</v>
      </c>
      <c r="G13" s="581"/>
      <c r="H13" s="628">
        <f t="shared" si="1"/>
        <v>0</v>
      </c>
      <c r="I13" s="585"/>
      <c r="J13" s="585"/>
      <c r="K13" s="585"/>
      <c r="L13" s="585"/>
      <c r="M13" s="586">
        <f>SUM(H13,I13,J13,K13,L13)</f>
        <v>0</v>
      </c>
      <c r="N13" s="585"/>
      <c r="O13" s="335">
        <f>SUM(M13,N13)</f>
        <v>0</v>
      </c>
    </row>
    <row r="14" spans="1:17" ht="14.25" thickBot="1" x14ac:dyDescent="0.3">
      <c r="A14" s="449" t="s">
        <v>42</v>
      </c>
      <c r="B14" s="595"/>
      <c r="C14" s="597"/>
      <c r="D14" s="597"/>
      <c r="E14" s="629"/>
      <c r="F14" s="626">
        <f>SUM(B14:E14)</f>
        <v>0</v>
      </c>
      <c r="G14" s="595"/>
      <c r="H14" s="596">
        <f t="shared" si="1"/>
        <v>0</v>
      </c>
      <c r="I14" s="597"/>
      <c r="J14" s="597"/>
      <c r="K14" s="597"/>
      <c r="L14" s="597"/>
      <c r="M14" s="598">
        <f>SUM(H14,I14,J14,K14,L14)</f>
        <v>0</v>
      </c>
      <c r="N14" s="597"/>
      <c r="O14" s="397">
        <f>SUM(M14,N14)</f>
        <v>0</v>
      </c>
    </row>
    <row r="15" spans="1:17" ht="18" customHeight="1" thickBot="1" x14ac:dyDescent="0.3">
      <c r="A15" s="339" t="s">
        <v>43</v>
      </c>
      <c r="B15" s="204">
        <f t="shared" ref="B15:G15" si="5">SUM(B11:B14)</f>
        <v>0</v>
      </c>
      <c r="C15" s="184">
        <f t="shared" si="5"/>
        <v>0</v>
      </c>
      <c r="D15" s="184">
        <f t="shared" si="5"/>
        <v>0</v>
      </c>
      <c r="E15" s="249">
        <f t="shared" si="5"/>
        <v>0</v>
      </c>
      <c r="F15" s="319">
        <f t="shared" si="5"/>
        <v>0</v>
      </c>
      <c r="G15" s="204">
        <f t="shared" si="5"/>
        <v>0</v>
      </c>
      <c r="H15" s="184">
        <f t="shared" si="1"/>
        <v>0</v>
      </c>
      <c r="I15" s="184">
        <f t="shared" ref="I15:O15" si="6">SUM(I11:I14)</f>
        <v>0</v>
      </c>
      <c r="J15" s="184">
        <f t="shared" si="6"/>
        <v>0</v>
      </c>
      <c r="K15" s="184">
        <f t="shared" si="6"/>
        <v>0</v>
      </c>
      <c r="L15" s="184">
        <f t="shared" si="6"/>
        <v>0</v>
      </c>
      <c r="M15" s="319">
        <f t="shared" si="6"/>
        <v>0</v>
      </c>
      <c r="N15" s="184">
        <f t="shared" si="6"/>
        <v>0</v>
      </c>
      <c r="O15" s="319">
        <f t="shared" si="6"/>
        <v>0</v>
      </c>
    </row>
    <row r="16" spans="1:17" x14ac:dyDescent="0.25">
      <c r="A16" s="448" t="s">
        <v>44</v>
      </c>
      <c r="B16" s="214">
        <v>11</v>
      </c>
      <c r="C16" s="216">
        <v>1</v>
      </c>
      <c r="D16" s="216">
        <v>2</v>
      </c>
      <c r="E16" s="421">
        <v>0</v>
      </c>
      <c r="F16" s="317">
        <f>SUM(B16:E16)</f>
        <v>14</v>
      </c>
      <c r="G16" s="214">
        <v>0</v>
      </c>
      <c r="H16" s="282">
        <f t="shared" si="1"/>
        <v>14</v>
      </c>
      <c r="I16" s="216">
        <v>1</v>
      </c>
      <c r="J16" s="216">
        <v>0</v>
      </c>
      <c r="K16" s="216">
        <v>0</v>
      </c>
      <c r="L16" s="216">
        <v>0</v>
      </c>
      <c r="M16" s="398">
        <f>SUM(H16,I16,J16,K16,L16)</f>
        <v>15</v>
      </c>
      <c r="N16" s="216">
        <v>0</v>
      </c>
      <c r="O16" s="398">
        <f>SUM(M16,N16)</f>
        <v>15</v>
      </c>
    </row>
    <row r="17" spans="1:15" x14ac:dyDescent="0.25">
      <c r="A17" s="331" t="s">
        <v>52</v>
      </c>
      <c r="B17" s="197">
        <v>0</v>
      </c>
      <c r="C17" s="150">
        <v>1</v>
      </c>
      <c r="D17" s="150">
        <v>1</v>
      </c>
      <c r="E17" s="332">
        <v>0</v>
      </c>
      <c r="F17" s="317">
        <f>SUM(B17:E17)</f>
        <v>2</v>
      </c>
      <c r="G17" s="197">
        <v>0</v>
      </c>
      <c r="H17" s="161">
        <f t="shared" si="1"/>
        <v>2</v>
      </c>
      <c r="I17" s="150">
        <v>4</v>
      </c>
      <c r="J17" s="150">
        <v>1</v>
      </c>
      <c r="K17" s="150">
        <v>0</v>
      </c>
      <c r="L17" s="150">
        <v>0</v>
      </c>
      <c r="M17" s="335">
        <f>SUM(H17,I17,J17,K17,L17)</f>
        <v>7</v>
      </c>
      <c r="N17" s="150">
        <v>0</v>
      </c>
      <c r="O17" s="335">
        <f>SUM(M17,N17)</f>
        <v>7</v>
      </c>
    </row>
    <row r="18" spans="1:15" ht="14.25" thickBot="1" x14ac:dyDescent="0.3">
      <c r="A18" s="449" t="s">
        <v>45</v>
      </c>
      <c r="B18" s="225">
        <v>3</v>
      </c>
      <c r="C18" s="227">
        <v>4</v>
      </c>
      <c r="D18" s="227">
        <v>7</v>
      </c>
      <c r="E18" s="336">
        <v>1</v>
      </c>
      <c r="F18" s="317">
        <f>SUM(B18:E18)</f>
        <v>15</v>
      </c>
      <c r="G18" s="225">
        <v>1</v>
      </c>
      <c r="H18" s="285">
        <f t="shared" si="1"/>
        <v>16</v>
      </c>
      <c r="I18" s="227">
        <v>8</v>
      </c>
      <c r="J18" s="227">
        <v>1</v>
      </c>
      <c r="K18" s="227">
        <v>1</v>
      </c>
      <c r="L18" s="227">
        <v>0</v>
      </c>
      <c r="M18" s="397">
        <f>SUM(H18,I18,J18,K18,L18)</f>
        <v>26</v>
      </c>
      <c r="N18" s="227">
        <v>0</v>
      </c>
      <c r="O18" s="397">
        <f>SUM(M18,N18)</f>
        <v>26</v>
      </c>
    </row>
    <row r="19" spans="1:15" ht="20.100000000000001" customHeight="1" thickBot="1" x14ac:dyDescent="0.3">
      <c r="A19" s="339" t="s">
        <v>46</v>
      </c>
      <c r="B19" s="204">
        <f t="shared" ref="B19:G19" si="7">SUM(B16:B18)</f>
        <v>14</v>
      </c>
      <c r="C19" s="184">
        <f t="shared" si="7"/>
        <v>6</v>
      </c>
      <c r="D19" s="184">
        <f t="shared" si="7"/>
        <v>10</v>
      </c>
      <c r="E19" s="249">
        <f t="shared" si="7"/>
        <v>1</v>
      </c>
      <c r="F19" s="319">
        <f t="shared" si="7"/>
        <v>31</v>
      </c>
      <c r="G19" s="204">
        <f t="shared" si="7"/>
        <v>1</v>
      </c>
      <c r="H19" s="184">
        <f t="shared" si="1"/>
        <v>32</v>
      </c>
      <c r="I19" s="184">
        <f t="shared" ref="I19:O19" si="8">SUM(I16:I18)</f>
        <v>13</v>
      </c>
      <c r="J19" s="184">
        <f t="shared" si="8"/>
        <v>2</v>
      </c>
      <c r="K19" s="184">
        <f t="shared" si="8"/>
        <v>1</v>
      </c>
      <c r="L19" s="184">
        <f t="shared" si="8"/>
        <v>0</v>
      </c>
      <c r="M19" s="319">
        <f t="shared" si="8"/>
        <v>48</v>
      </c>
      <c r="N19" s="184">
        <f t="shared" si="8"/>
        <v>0</v>
      </c>
      <c r="O19" s="319">
        <f t="shared" si="8"/>
        <v>48</v>
      </c>
    </row>
    <row r="20" spans="1:15" ht="20.25" customHeight="1" thickBot="1" x14ac:dyDescent="0.3">
      <c r="A20" s="339" t="s">
        <v>47</v>
      </c>
      <c r="B20" s="184">
        <f t="shared" ref="B20:G20" si="9">SUM(B7,B10,B15,B19)</f>
        <v>23</v>
      </c>
      <c r="C20" s="184">
        <f t="shared" si="9"/>
        <v>8</v>
      </c>
      <c r="D20" s="184">
        <f t="shared" si="9"/>
        <v>19</v>
      </c>
      <c r="E20" s="249">
        <f t="shared" si="9"/>
        <v>7</v>
      </c>
      <c r="F20" s="319">
        <f t="shared" si="9"/>
        <v>57</v>
      </c>
      <c r="G20" s="204">
        <f t="shared" si="9"/>
        <v>2</v>
      </c>
      <c r="H20" s="184">
        <f t="shared" si="1"/>
        <v>59</v>
      </c>
      <c r="I20" s="184">
        <f t="shared" ref="I20:O20" si="10">SUM(I7,I10,I15,I19)</f>
        <v>14</v>
      </c>
      <c r="J20" s="184">
        <f t="shared" si="10"/>
        <v>3</v>
      </c>
      <c r="K20" s="184">
        <f t="shared" si="10"/>
        <v>1</v>
      </c>
      <c r="L20" s="184">
        <f t="shared" si="10"/>
        <v>0</v>
      </c>
      <c r="M20" s="319">
        <f t="shared" si="10"/>
        <v>77</v>
      </c>
      <c r="N20" s="184">
        <f t="shared" si="10"/>
        <v>0</v>
      </c>
      <c r="O20" s="319">
        <f t="shared" si="10"/>
        <v>77</v>
      </c>
    </row>
    <row r="21" spans="1:15" hidden="1" x14ac:dyDescent="0.25">
      <c r="A21" s="811" t="s">
        <v>206</v>
      </c>
      <c r="B21" s="797"/>
      <c r="C21" s="812"/>
      <c r="D21" s="812"/>
      <c r="E21" s="813"/>
      <c r="F21" s="814"/>
      <c r="G21" s="815"/>
      <c r="H21" s="814"/>
      <c r="I21" s="797"/>
      <c r="J21" s="812"/>
      <c r="K21" s="812"/>
      <c r="L21" s="813"/>
      <c r="M21" s="814"/>
      <c r="N21" s="815"/>
      <c r="O21" s="814"/>
    </row>
    <row r="22" spans="1:15" ht="14.25" thickBot="1" x14ac:dyDescent="0.3">
      <c r="A22" s="451" t="s">
        <v>294</v>
      </c>
      <c r="B22" s="452">
        <f>B20+B21</f>
        <v>23</v>
      </c>
      <c r="C22" s="452">
        <f t="shared" ref="C22:O22" si="11">C20+C21</f>
        <v>8</v>
      </c>
      <c r="D22" s="452">
        <f t="shared" si="11"/>
        <v>19</v>
      </c>
      <c r="E22" s="453">
        <f t="shared" si="11"/>
        <v>7</v>
      </c>
      <c r="F22" s="321">
        <f t="shared" si="11"/>
        <v>57</v>
      </c>
      <c r="G22" s="453">
        <f t="shared" si="11"/>
        <v>2</v>
      </c>
      <c r="H22" s="321">
        <f t="shared" si="11"/>
        <v>59</v>
      </c>
      <c r="I22" s="452">
        <f t="shared" si="11"/>
        <v>14</v>
      </c>
      <c r="J22" s="452">
        <f t="shared" si="11"/>
        <v>3</v>
      </c>
      <c r="K22" s="452">
        <f t="shared" si="11"/>
        <v>1</v>
      </c>
      <c r="L22" s="453">
        <f t="shared" si="11"/>
        <v>0</v>
      </c>
      <c r="M22" s="321">
        <f t="shared" si="11"/>
        <v>77</v>
      </c>
      <c r="N22" s="453">
        <f t="shared" si="11"/>
        <v>0</v>
      </c>
      <c r="O22" s="321">
        <f t="shared" si="11"/>
        <v>77</v>
      </c>
    </row>
    <row r="23" spans="1:15" ht="14.25" thickBot="1" x14ac:dyDescent="0.3">
      <c r="H23" s="123"/>
    </row>
    <row r="24" spans="1:15" ht="14.25" thickBot="1" x14ac:dyDescent="0.3">
      <c r="A24" s="314">
        <f>O22</f>
        <v>77</v>
      </c>
      <c r="B24" s="406" t="s">
        <v>116</v>
      </c>
      <c r="C24" s="406"/>
      <c r="D24" s="407"/>
      <c r="E24" s="454">
        <f>'Anlage 1a'!X45</f>
        <v>505</v>
      </c>
      <c r="F24" s="406" t="s">
        <v>117</v>
      </c>
      <c r="G24" s="407"/>
      <c r="H24" s="406" t="s">
        <v>118</v>
      </c>
      <c r="I24" s="406"/>
      <c r="J24" s="406"/>
      <c r="K24" s="406"/>
      <c r="L24" s="406"/>
      <c r="M24" s="406"/>
      <c r="N24" s="410">
        <f>A24/E24*100</f>
        <v>15.247524752475247</v>
      </c>
      <c r="O24" s="320" t="s">
        <v>50</v>
      </c>
    </row>
    <row r="27" spans="1:15" x14ac:dyDescent="0.25">
      <c r="A27" s="3" t="s">
        <v>53</v>
      </c>
    </row>
  </sheetData>
  <customSheetViews>
    <customSheetView guid="{0224233B-564D-4BBC-A6B2-E639E6D2CFB3}" showPageBreaks="1" printArea="1" hiddenRow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view="pageLayout" zoomScaleNormal="100" zoomScaleSheetLayoutView="100" workbookViewId="0">
      <selection activeCell="M6" sqref="M6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174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130</v>
      </c>
      <c r="B5" s="412" t="s">
        <v>102</v>
      </c>
      <c r="C5" s="412" t="s">
        <v>103</v>
      </c>
      <c r="D5" s="412" t="s">
        <v>104</v>
      </c>
      <c r="E5" s="412" t="s">
        <v>105</v>
      </c>
      <c r="F5" s="412" t="s">
        <v>106</v>
      </c>
      <c r="G5" s="412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9.5" customHeight="1" thickBot="1" x14ac:dyDescent="0.3">
      <c r="A6" s="331" t="s">
        <v>36</v>
      </c>
      <c r="B6" s="271">
        <f>'Anlage 6.6'!B6+'Anlage 6.7'!B6+'Anlage 6.8'!B6+'Anlage 6.9'!B6+'Anlage 6.10'!B6+'Anlage 6.11'!B6</f>
        <v>9</v>
      </c>
      <c r="C6" s="273">
        <f>'Anlage 6.6'!C6+'Anlage 6.7'!C6+'Anlage 6.8'!C6+'Anlage 6.9'!C6+'Anlage 6.10'!C6+'Anlage 6.11'!C6</f>
        <v>0</v>
      </c>
      <c r="D6" s="273">
        <f>'Anlage 6.6'!D6+'Anlage 6.7'!D6+'Anlage 6.8'!D6+'Anlage 6.9'!D6+'Anlage 6.10'!D6+'Anlage 6.11'!D6</f>
        <v>1</v>
      </c>
      <c r="E6" s="273">
        <f>'Anlage 6.6'!E6+'Anlage 6.7'!E6+'Anlage 6.8'!E6+'Anlage 6.9'!E6+'Anlage 6.10'!E6+'Anlage 6.11'!E6</f>
        <v>0</v>
      </c>
      <c r="F6" s="273">
        <f>'Anlage 6.6'!F6+'Anlage 6.7'!F6+'Anlage 6.8'!F6+'Anlage 6.9'!F6+'Anlage 6.10'!F6+'Anlage 6.11'!F6</f>
        <v>10</v>
      </c>
      <c r="G6" s="455">
        <f>'Anlage 6.6'!G6+'Anlage 6.7'!G6+'Anlage 6.8'!G6+'Anlage 6.9'!G6+'Anlage 6.10'!G6+'Anlage 6.11'!G6</f>
        <v>1</v>
      </c>
      <c r="H6" s="456">
        <f>'Anlage 6.6'!H6+'Anlage 6.7'!H6+'Anlage 6.8'!H6+'Anlage 6.9'!H6+'Anlage 6.10'!H6+'Anlage 6.11'!H6</f>
        <v>11</v>
      </c>
      <c r="I6" s="276">
        <f>'Anlage 6.6'!I6+'Anlage 6.7'!I6+'Anlage 6.8'!I6+'Anlage 6.9'!I6+'Anlage 6.10'!I6+'Anlage 6.11'!I6</f>
        <v>0</v>
      </c>
      <c r="J6" s="273">
        <f>'Anlage 6.6'!J6+'Anlage 6.7'!J6+'Anlage 6.8'!J6+'Anlage 6.9'!J6+'Anlage 6.10'!J6+'Anlage 6.11'!J6</f>
        <v>3</v>
      </c>
      <c r="K6" s="273">
        <f>'Anlage 6.6'!K6+'Anlage 6.7'!K6+'Anlage 6.8'!K6+'Anlage 6.9'!K6+'Anlage 6.10'!K6+'Anlage 6.11'!K6</f>
        <v>0</v>
      </c>
      <c r="L6" s="455">
        <f>'Anlage 6.6'!L6+'Anlage 6.7'!L6+'Anlage 6.8'!L6+'Anlage 6.9'!L6+'Anlage 6.10'!L6+'Anlage 6.11'!L6</f>
        <v>0</v>
      </c>
      <c r="M6" s="344">
        <f>'Anlage 6.6'!M6+'Anlage 6.7'!M6+'Anlage 6.8'!M6+'Anlage 6.9'!M6+'Anlage 6.10'!M6+'Anlage 6.11'!M6</f>
        <v>14</v>
      </c>
      <c r="N6" s="456">
        <f>'Anlage 6.6'!N6+'Anlage 6.7'!N6+'Anlage 6.8'!N6+'Anlage 6.9'!N6+'Anlage 6.10'!N6+'Anlage 6.11'!N6</f>
        <v>0</v>
      </c>
      <c r="O6" s="457">
        <f>'Anlage 6.6'!O6+'Anlage 6.7'!O6+'Anlage 6.8'!O6+'Anlage 6.9'!O6+'Anlage 6.10'!O6+'Anlage 6.11'!O6</f>
        <v>14</v>
      </c>
    </row>
    <row r="7" spans="1:17" s="123" customFormat="1" ht="20.100000000000001" customHeight="1" thickBot="1" x14ac:dyDescent="0.3">
      <c r="A7" s="424" t="s">
        <v>38</v>
      </c>
      <c r="B7" s="278">
        <f>'Anlage 6.6'!B7+'Anlage 6.7'!B7+'Anlage 6.8'!B7+'Anlage 6.9'!B7+'Anlage 6.10'!B7+'Anlage 6.11'!B7</f>
        <v>9</v>
      </c>
      <c r="C7" s="442">
        <f>'Anlage 6.6'!C7+'Anlage 6.7'!C7+'Anlage 6.8'!C7+'Anlage 6.9'!C7+'Anlage 6.10'!C7+'Anlage 6.11'!C7</f>
        <v>0</v>
      </c>
      <c r="D7" s="442">
        <f>'Anlage 6.6'!D7+'Anlage 6.7'!D7+'Anlage 6.8'!D7+'Anlage 6.9'!D7+'Anlage 6.10'!D7+'Anlage 6.11'!D7</f>
        <v>1</v>
      </c>
      <c r="E7" s="442">
        <f>'Anlage 6.6'!E7+'Anlage 6.7'!E7+'Anlage 6.8'!E7+'Anlage 6.9'!E7+'Anlage 6.10'!E7+'Anlage 6.11'!E7</f>
        <v>0</v>
      </c>
      <c r="F7" s="442">
        <f>'Anlage 6.6'!F7+'Anlage 6.7'!F7+'Anlage 6.8'!F7+'Anlage 6.9'!F7+'Anlage 6.10'!F7+'Anlage 6.11'!F7</f>
        <v>10</v>
      </c>
      <c r="G7" s="443">
        <f>'Anlage 6.6'!G7+'Anlage 6.7'!G7+'Anlage 6.8'!G7+'Anlage 6.9'!G7+'Anlage 6.10'!G7+'Anlage 6.11'!G7</f>
        <v>1</v>
      </c>
      <c r="H7" s="345">
        <f>'Anlage 6.6'!H7+'Anlage 6.7'!H7+'Anlage 6.8'!H7+'Anlage 6.9'!H7+'Anlage 6.10'!H7+'Anlage 6.11'!H7</f>
        <v>11</v>
      </c>
      <c r="I7" s="444">
        <f>'Anlage 6.6'!I7+'Anlage 6.7'!I7+'Anlage 6.8'!I7+'Anlage 6.9'!I7+'Anlage 6.10'!I7+'Anlage 6.11'!I7</f>
        <v>0</v>
      </c>
      <c r="J7" s="442">
        <f>'Anlage 6.6'!J7+'Anlage 6.7'!J7+'Anlage 6.8'!J7+'Anlage 6.9'!J7+'Anlage 6.10'!J7+'Anlage 6.11'!J7</f>
        <v>3</v>
      </c>
      <c r="K7" s="442">
        <f>'Anlage 6.6'!K7+'Anlage 6.7'!K7+'Anlage 6.8'!K7+'Anlage 6.9'!K7+'Anlage 6.10'!K7+'Anlage 6.11'!K7</f>
        <v>0</v>
      </c>
      <c r="L7" s="442">
        <f>'Anlage 6.6'!L7+'Anlage 6.7'!L7+'Anlage 6.8'!L7+'Anlage 6.9'!L7+'Anlage 6.10'!L7+'Anlage 6.11'!L7</f>
        <v>0</v>
      </c>
      <c r="M7" s="443">
        <f>'Anlage 6.6'!M7+'Anlage 6.7'!M7+'Anlage 6.8'!M7+'Anlage 6.9'!M7+'Anlage 6.10'!M7+'Anlage 6.11'!M7</f>
        <v>14</v>
      </c>
      <c r="N7" s="345">
        <f>'Anlage 6.6'!N7+'Anlage 6.7'!N7+'Anlage 6.8'!N7+'Anlage 6.9'!N7+'Anlage 6.10'!N7+'Anlage 6.11'!N7</f>
        <v>0</v>
      </c>
      <c r="O7" s="407">
        <f>'Anlage 6.6'!O7+'Anlage 6.7'!O7+'Anlage 6.8'!O7+'Anlage 6.9'!O7+'Anlage 6.10'!O7+'Anlage 6.11'!O7</f>
        <v>14</v>
      </c>
    </row>
    <row r="8" spans="1:17" s="123" customFormat="1" ht="17.25" customHeight="1" thickBot="1" x14ac:dyDescent="0.3">
      <c r="A8" s="205" t="s">
        <v>56</v>
      </c>
      <c r="B8" s="217">
        <f>'Anlage 6.6'!B8+'Anlage 6.7'!B8+'Anlage 6.8'!B8+'Anlage 6.9'!B8+'Anlage 6.10'!B8+'Anlage 6.11'!B8</f>
        <v>41</v>
      </c>
      <c r="C8" s="234">
        <f>'Anlage 6.6'!C8+'Anlage 6.7'!C8+'Anlage 6.8'!C8+'Anlage 6.9'!C8+'Anlage 6.10'!C8+'Anlage 6.11'!C8</f>
        <v>5</v>
      </c>
      <c r="D8" s="234">
        <f>'Anlage 6.6'!D8+'Anlage 6.7'!D8+'Anlage 6.8'!D8+'Anlage 6.9'!D8+'Anlage 6.10'!D8+'Anlage 6.11'!D8</f>
        <v>30</v>
      </c>
      <c r="E8" s="234">
        <f>'Anlage 6.6'!E8+'Anlage 6.7'!E8+'Anlage 6.8'!E8+'Anlage 6.9'!E8+'Anlage 6.10'!E8+'Anlage 6.11'!E8</f>
        <v>36</v>
      </c>
      <c r="F8" s="234">
        <f>'Anlage 6.6'!F8+'Anlage 6.7'!F8+'Anlage 6.8'!F8+'Anlage 6.9'!F8+'Anlage 6.10'!F8+'Anlage 6.11'!F8</f>
        <v>112</v>
      </c>
      <c r="G8" s="432">
        <f>'Anlage 6.6'!G8+'Anlage 6.7'!G8+'Anlage 6.8'!G8+'Anlage 6.9'!G8+'Anlage 6.10'!G8+'Anlage 6.11'!G8</f>
        <v>2</v>
      </c>
      <c r="H8" s="328">
        <f>'Anlage 6.6'!H8+'Anlage 6.7'!H8+'Anlage 6.8'!H8+'Anlage 6.9'!H8+'Anlage 6.10'!H8+'Anlage 6.11'!H8</f>
        <v>114</v>
      </c>
      <c r="I8" s="223">
        <f>'Anlage 6.6'!I8+'Anlage 6.7'!I8+'Anlage 6.8'!I8+'Anlage 6.9'!I8+'Anlage 6.10'!I8+'Anlage 6.11'!I8</f>
        <v>6</v>
      </c>
      <c r="J8" s="234">
        <f>'Anlage 6.6'!J8+'Anlage 6.7'!J8+'Anlage 6.8'!J8+'Anlage 6.9'!J8+'Anlage 6.10'!J8+'Anlage 6.11'!J8</f>
        <v>5</v>
      </c>
      <c r="K8" s="234">
        <f>'Anlage 6.6'!K8+'Anlage 6.7'!K8+'Anlage 6.8'!K8+'Anlage 6.9'!K8+'Anlage 6.10'!K8+'Anlage 6.11'!K8</f>
        <v>1</v>
      </c>
      <c r="L8" s="432">
        <f>'Anlage 6.6'!L8+'Anlage 6.7'!L8+'Anlage 6.8'!L8+'Anlage 6.9'!L8+'Anlage 6.10'!L8+'Anlage 6.11'!L8</f>
        <v>2</v>
      </c>
      <c r="M8" s="340">
        <f>'Anlage 6.6'!M8+'Anlage 6.7'!M8+'Anlage 6.8'!M8+'Anlage 6.9'!M8+'Anlage 6.10'!M8+'Anlage 6.11'!M8</f>
        <v>128</v>
      </c>
      <c r="N8" s="328">
        <f>'Anlage 6.6'!N8+'Anlage 6.7'!N8+'Anlage 6.8'!N8+'Anlage 6.9'!N8+'Anlage 6.10'!N8+'Anlage 6.11'!N8</f>
        <v>0</v>
      </c>
      <c r="O8" s="342">
        <f>'Anlage 6.6'!O8+'Anlage 6.7'!O8+'Anlage 6.8'!O8+'Anlage 6.9'!O8+'Anlage 6.10'!O8+'Anlage 6.11'!O8</f>
        <v>128</v>
      </c>
    </row>
    <row r="9" spans="1:17" s="123" customFormat="1" ht="16.5" hidden="1" customHeight="1" thickBot="1" x14ac:dyDescent="0.3">
      <c r="A9" s="662" t="s">
        <v>177</v>
      </c>
      <c r="B9" s="672"/>
      <c r="C9" s="671"/>
      <c r="D9" s="671"/>
      <c r="E9" s="671"/>
      <c r="F9" s="671"/>
      <c r="G9" s="818"/>
      <c r="H9" s="824"/>
      <c r="I9" s="669"/>
      <c r="J9" s="671"/>
      <c r="K9" s="671"/>
      <c r="L9" s="818"/>
      <c r="M9" s="825"/>
      <c r="N9" s="826"/>
      <c r="O9" s="827"/>
    </row>
    <row r="10" spans="1:17" s="123" customFormat="1" ht="15.75" customHeight="1" thickBot="1" x14ac:dyDescent="0.3">
      <c r="A10" s="339" t="s">
        <v>81</v>
      </c>
      <c r="B10" s="278">
        <f>'Anlage 6.6'!B10+'Anlage 6.7'!B10+'Anlage 6.8'!B10+'Anlage 6.9'!B10+'Anlage 6.10'!B10+'Anlage 6.11'!B10</f>
        <v>41</v>
      </c>
      <c r="C10" s="442">
        <f>'Anlage 6.6'!C10+'Anlage 6.7'!C10+'Anlage 6.8'!C10+'Anlage 6.9'!C10+'Anlage 6.10'!C10+'Anlage 6.11'!C10</f>
        <v>5</v>
      </c>
      <c r="D10" s="442">
        <f>'Anlage 6.6'!D10+'Anlage 6.7'!D10+'Anlage 6.8'!D10+'Anlage 6.9'!D10+'Anlage 6.10'!D10+'Anlage 6.11'!D10</f>
        <v>30</v>
      </c>
      <c r="E10" s="442">
        <f>'Anlage 6.6'!E10+'Anlage 6.7'!E10+'Anlage 6.8'!E10+'Anlage 6.9'!E10+'Anlage 6.10'!E10+'Anlage 6.11'!E10</f>
        <v>36</v>
      </c>
      <c r="F10" s="442">
        <f>'Anlage 6.6'!F10+'Anlage 6.7'!F10+'Anlage 6.8'!F10+'Anlage 6.9'!F10+'Anlage 6.10'!F10+'Anlage 6.11'!F10</f>
        <v>112</v>
      </c>
      <c r="G10" s="443">
        <f>'Anlage 6.6'!G10+'Anlage 6.7'!G10+'Anlage 6.8'!G10+'Anlage 6.9'!G10+'Anlage 6.10'!G10+'Anlage 6.11'!G10</f>
        <v>2</v>
      </c>
      <c r="H10" s="345">
        <f>'Anlage 6.6'!H10+'Anlage 6.7'!H10+'Anlage 6.8'!H10+'Anlage 6.9'!H10+'Anlage 6.10'!H10+'Anlage 6.11'!H10</f>
        <v>114</v>
      </c>
      <c r="I10" s="444">
        <f>'Anlage 6.6'!I10+'Anlage 6.7'!I10+'Anlage 6.8'!I10+'Anlage 6.9'!I10+'Anlage 6.10'!I10+'Anlage 6.11'!I10</f>
        <v>6</v>
      </c>
      <c r="J10" s="442">
        <f>'Anlage 6.6'!J10+'Anlage 6.7'!J10+'Anlage 6.8'!J10+'Anlage 6.9'!J10+'Anlage 6.10'!J10+'Anlage 6.11'!J10</f>
        <v>5</v>
      </c>
      <c r="K10" s="442">
        <f>'Anlage 6.6'!K10+'Anlage 6.7'!K10+'Anlage 6.8'!K10+'Anlage 6.9'!K10+'Anlage 6.10'!K10+'Anlage 6.11'!K10</f>
        <v>1</v>
      </c>
      <c r="L10" s="443">
        <f>'Anlage 6.6'!L10+'Anlage 6.7'!L10+'Anlage 6.8'!L10+'Anlage 6.9'!L10+'Anlage 6.10'!L10+'Anlage 6.11'!L10</f>
        <v>2</v>
      </c>
      <c r="M10" s="345">
        <f>'Anlage 6.6'!M10+'Anlage 6.7'!M10+'Anlage 6.8'!M10+'Anlage 6.9'!M10+'Anlage 6.10'!M10+'Anlage 6.11'!M10</f>
        <v>128</v>
      </c>
      <c r="N10" s="406">
        <f>'Anlage 6.6'!N10+'Anlage 6.7'!N10+'Anlage 6.8'!N10+'Anlage 6.9'!N10+'Anlage 6.10'!N10+'Anlage 6.11'!N10</f>
        <v>0</v>
      </c>
      <c r="O10" s="345">
        <f>'Anlage 6.6'!O10+'Anlage 6.7'!O10+'Anlage 6.8'!O10+'Anlage 6.9'!O10+'Anlage 6.10'!O10+'Anlage 6.11'!O10</f>
        <v>128</v>
      </c>
    </row>
    <row r="11" spans="1:17" ht="16.5" customHeight="1" x14ac:dyDescent="0.25">
      <c r="A11" s="448" t="s">
        <v>39</v>
      </c>
      <c r="B11" s="217">
        <f>'Anlage 6.6'!B11+'Anlage 6.7'!B11+'Anlage 6.8'!B11+'Anlage 6.9'!B11+'Anlage 6.10'!B11+'Anlage 6.11'!B11</f>
        <v>11</v>
      </c>
      <c r="C11" s="234">
        <f>'Anlage 6.6'!C11+'Anlage 6.7'!C11+'Anlage 6.8'!C11+'Anlage 6.9'!C11+'Anlage 6.10'!C11+'Anlage 6.11'!C11</f>
        <v>7</v>
      </c>
      <c r="D11" s="234">
        <f>'Anlage 6.6'!D11+'Anlage 6.7'!D11+'Anlage 6.8'!D11+'Anlage 6.9'!D11+'Anlage 6.10'!D11+'Anlage 6.11'!D11</f>
        <v>4</v>
      </c>
      <c r="E11" s="234">
        <f>'Anlage 6.6'!E11+'Anlage 6.7'!E11+'Anlage 6.8'!E11+'Anlage 6.9'!E11+'Anlage 6.10'!E11+'Anlage 6.11'!E11</f>
        <v>1</v>
      </c>
      <c r="F11" s="234">
        <f>'Anlage 6.6'!F11+'Anlage 6.7'!F11+'Anlage 6.8'!F11+'Anlage 6.9'!F11+'Anlage 6.10'!F11+'Anlage 6.11'!F11</f>
        <v>23</v>
      </c>
      <c r="G11" s="432">
        <f>'Anlage 6.6'!G11+'Anlage 6.7'!G11+'Anlage 6.8'!G11+'Anlage 6.9'!G11+'Anlage 6.10'!G11+'Anlage 6.11'!G11</f>
        <v>1</v>
      </c>
      <c r="H11" s="328">
        <f>'Anlage 6.6'!H11+'Anlage 6.7'!H11+'Anlage 6.8'!H11+'Anlage 6.9'!H11+'Anlage 6.10'!H11+'Anlage 6.11'!H11</f>
        <v>24</v>
      </c>
      <c r="I11" s="223">
        <f>'Anlage 6.6'!I11+'Anlage 6.7'!I11+'Anlage 6.8'!I11+'Anlage 6.9'!I11+'Anlage 6.10'!I11+'Anlage 6.11'!I11</f>
        <v>1</v>
      </c>
      <c r="J11" s="234">
        <f>'Anlage 6.6'!J11+'Anlage 6.7'!J11+'Anlage 6.8'!J11+'Anlage 6.9'!J11+'Anlage 6.10'!J11+'Anlage 6.11'!J11</f>
        <v>0</v>
      </c>
      <c r="K11" s="234">
        <f>'Anlage 6.6'!K11+'Anlage 6.7'!K11+'Anlage 6.8'!K11+'Anlage 6.9'!K11+'Anlage 6.10'!K11+'Anlage 6.11'!K11</f>
        <v>1</v>
      </c>
      <c r="L11" s="432">
        <f>'Anlage 6.6'!L11+'Anlage 6.7'!L11+'Anlage 6.8'!L11+'Anlage 6.9'!L11+'Anlage 6.10'!L11+'Anlage 6.11'!L11</f>
        <v>0</v>
      </c>
      <c r="M11" s="316">
        <f>'Anlage 6.6'!M11+'Anlage 6.7'!M11+'Anlage 6.8'!M11+'Anlage 6.9'!M11+'Anlage 6.10'!M11+'Anlage 6.11'!M11</f>
        <v>26</v>
      </c>
      <c r="N11" s="433">
        <f>'Anlage 6.6'!N11+'Anlage 6.7'!N11+'Anlage 6.8'!N11+'Anlage 6.9'!N11+'Anlage 6.10'!N11+'Anlage 6.11'!N11</f>
        <v>3</v>
      </c>
      <c r="O11" s="328">
        <f>'Anlage 6.6'!O11+'Anlage 6.7'!O11+'Anlage 6.8'!O11+'Anlage 6.9'!O11+'Anlage 6.10'!O11+'Anlage 6.11'!O11</f>
        <v>29</v>
      </c>
    </row>
    <row r="12" spans="1:17" ht="15.75" customHeight="1" x14ac:dyDescent="0.25">
      <c r="A12" s="331" t="s">
        <v>40</v>
      </c>
      <c r="B12" s="152">
        <f>'Anlage 6.6'!B12+'Anlage 6.7'!B12+'Anlage 6.8'!B12+'Anlage 6.9'!B12+'Anlage 6.10'!B12+'Anlage 6.11'!B12</f>
        <v>6</v>
      </c>
      <c r="C12" s="157">
        <f>'Anlage 6.6'!C12+'Anlage 6.7'!C12+'Anlage 6.8'!C12+'Anlage 6.9'!C12+'Anlage 6.10'!C12+'Anlage 6.11'!C12</f>
        <v>25</v>
      </c>
      <c r="D12" s="157">
        <f>'Anlage 6.6'!D12+'Anlage 6.7'!D12+'Anlage 6.8'!D12+'Anlage 6.9'!D12+'Anlage 6.10'!D12+'Anlage 6.11'!D12</f>
        <v>20</v>
      </c>
      <c r="E12" s="157">
        <f>'Anlage 6.6'!E12+'Anlage 6.7'!E12+'Anlage 6.8'!E12+'Anlage 6.9'!E12+'Anlage 6.10'!E12+'Anlage 6.11'!E12</f>
        <v>11</v>
      </c>
      <c r="F12" s="157">
        <f>'Anlage 6.6'!F12+'Anlage 6.7'!F12+'Anlage 6.8'!F12+'Anlage 6.9'!F12+'Anlage 6.10'!F12+'Anlage 6.11'!F12</f>
        <v>62</v>
      </c>
      <c r="G12" s="434">
        <f>'Anlage 6.6'!G12+'Anlage 6.7'!G12+'Anlage 6.8'!G12+'Anlage 6.9'!G12+'Anlage 6.10'!G12+'Anlage 6.11'!G12</f>
        <v>2</v>
      </c>
      <c r="H12" s="317">
        <f>'Anlage 6.6'!H12+'Anlage 6.7'!H12+'Anlage 6.8'!H12+'Anlage 6.9'!H12+'Anlage 6.10'!H12+'Anlage 6.11'!H12</f>
        <v>64</v>
      </c>
      <c r="I12" s="343">
        <f>'Anlage 6.6'!I12+'Anlage 6.7'!I12+'Anlage 6.8'!I12+'Anlage 6.9'!I12+'Anlage 6.10'!I12+'Anlage 6.11'!I12</f>
        <v>26</v>
      </c>
      <c r="J12" s="157">
        <f>'Anlage 6.6'!J12+'Anlage 6.7'!J12+'Anlage 6.8'!J12+'Anlage 6.9'!J12+'Anlage 6.10'!J12+'Anlage 6.11'!J12</f>
        <v>4</v>
      </c>
      <c r="K12" s="157">
        <f>'Anlage 6.6'!K12+'Anlage 6.7'!K12+'Anlage 6.8'!K12+'Anlage 6.9'!K12+'Anlage 6.10'!K12+'Anlage 6.11'!K12</f>
        <v>8</v>
      </c>
      <c r="L12" s="434">
        <f>'Anlage 6.6'!L12+'Anlage 6.7'!L12+'Anlage 6.8'!L12+'Anlage 6.9'!L12+'Anlage 6.10'!L12+'Anlage 6.11'!L12</f>
        <v>3</v>
      </c>
      <c r="M12" s="328">
        <f>'Anlage 6.6'!M12+'Anlage 6.7'!M12+'Anlage 6.8'!M12+'Anlage 6.9'!M12+'Anlage 6.10'!M12+'Anlage 6.11'!M12</f>
        <v>105</v>
      </c>
      <c r="N12" s="435">
        <f>'Anlage 6.6'!N12+'Anlage 6.7'!N12+'Anlage 6.8'!N12+'Anlage 6.9'!N12+'Anlage 6.10'!N12+'Anlage 6.11'!N12</f>
        <v>28</v>
      </c>
      <c r="O12" s="317">
        <f>'Anlage 6.6'!O12+'Anlage 6.7'!O12+'Anlage 6.8'!O12+'Anlage 6.9'!O12+'Anlage 6.10'!O12+'Anlage 6.11'!O12</f>
        <v>133</v>
      </c>
    </row>
    <row r="13" spans="1:17" ht="15.75" customHeight="1" x14ac:dyDescent="0.25">
      <c r="A13" s="331" t="s">
        <v>41</v>
      </c>
      <c r="B13" s="152">
        <f>'Anlage 6.6'!B13+'Anlage 6.7'!B13+'Anlage 6.8'!B13+'Anlage 6.9'!B13+'Anlage 6.10'!B13+'Anlage 6.11'!B13</f>
        <v>4</v>
      </c>
      <c r="C13" s="157">
        <f>'Anlage 6.6'!C13+'Anlage 6.7'!C13+'Anlage 6.8'!C13+'Anlage 6.9'!C13+'Anlage 6.10'!C13+'Anlage 6.11'!C13</f>
        <v>0</v>
      </c>
      <c r="D13" s="459">
        <f>'Anlage 6.6'!D13+'Anlage 6.7'!D13+'Anlage 6.8'!D13+'Anlage 6.9'!D13+'Anlage 6.10'!D13+'Anlage 6.11'!D13</f>
        <v>54</v>
      </c>
      <c r="E13" s="157">
        <f>'Anlage 6.6'!E13+'Anlage 6.7'!E13+'Anlage 6.8'!E13+'Anlage 6.9'!E13+'Anlage 6.10'!E13+'Anlage 6.11'!E13</f>
        <v>1</v>
      </c>
      <c r="F13" s="157">
        <f>'Anlage 6.6'!F13+'Anlage 6.7'!F13+'Anlage 6.8'!F13+'Anlage 6.9'!F13+'Anlage 6.10'!F13+'Anlage 6.11'!F13</f>
        <v>59</v>
      </c>
      <c r="G13" s="434">
        <f>'Anlage 6.6'!G13+'Anlage 6.7'!G13+'Anlage 6.8'!G13+'Anlage 6.9'!G13+'Anlage 6.10'!G13+'Anlage 6.11'!G13</f>
        <v>0</v>
      </c>
      <c r="H13" s="317">
        <f>'Anlage 6.6'!H13+'Anlage 6.7'!H13+'Anlage 6.8'!H13+'Anlage 6.9'!H13+'Anlage 6.10'!H13+'Anlage 6.11'!H13</f>
        <v>59</v>
      </c>
      <c r="I13" s="343">
        <f>'Anlage 6.6'!I13+'Anlage 6.7'!I13+'Anlage 6.8'!I13+'Anlage 6.9'!I13+'Anlage 6.10'!I13+'Anlage 6.11'!I13</f>
        <v>8</v>
      </c>
      <c r="J13" s="157">
        <f>'Anlage 6.6'!J13+'Anlage 6.7'!J13+'Anlage 6.8'!J13+'Anlage 6.9'!J13+'Anlage 6.10'!J13+'Anlage 6.11'!J13</f>
        <v>0</v>
      </c>
      <c r="K13" s="157">
        <f>'Anlage 6.6'!K13+'Anlage 6.7'!K13+'Anlage 6.8'!K13+'Anlage 6.9'!K13+'Anlage 6.10'!K13+'Anlage 6.11'!K13</f>
        <v>0</v>
      </c>
      <c r="L13" s="434">
        <f>'Anlage 6.6'!L13+'Anlage 6.7'!L13+'Anlage 6.8'!L13+'Anlage 6.9'!L13+'Anlage 6.10'!L13+'Anlage 6.11'!L13</f>
        <v>3</v>
      </c>
      <c r="M13" s="317">
        <f>'Anlage 6.6'!M13+'Anlage 6.7'!M13+'Anlage 6.8'!M13+'Anlage 6.9'!M13+'Anlage 6.10'!M13+'Anlage 6.11'!M13</f>
        <v>70</v>
      </c>
      <c r="N13" s="435">
        <f>'Anlage 6.6'!N13+'Anlage 6.7'!N13+'Anlage 6.8'!N13+'Anlage 6.9'!N13+'Anlage 6.10'!N13+'Anlage 6.11'!N13</f>
        <v>6</v>
      </c>
      <c r="O13" s="317">
        <f>'Anlage 6.6'!O13+'Anlage 6.7'!O13+'Anlage 6.8'!O13+'Anlage 6.9'!O13+'Anlage 6.10'!O13+'Anlage 6.11'!O13</f>
        <v>76</v>
      </c>
    </row>
    <row r="14" spans="1:17" ht="15.75" customHeight="1" thickBot="1" x14ac:dyDescent="0.3">
      <c r="A14" s="449" t="s">
        <v>42</v>
      </c>
      <c r="B14" s="228">
        <f>'Anlage 6.6'!B14+'Anlage 6.7'!B14+'Anlage 6.8'!B14+'Anlage 6.9'!B14+'Anlage 6.10'!B14+'Anlage 6.11'!B14</f>
        <v>4</v>
      </c>
      <c r="C14" s="264">
        <f>'Anlage 6.6'!C14+'Anlage 6.7'!C14+'Anlage 6.8'!C14+'Anlage 6.9'!C14+'Anlage 6.10'!C14+'Anlage 6.11'!C14</f>
        <v>29</v>
      </c>
      <c r="D14" s="460">
        <f>'Anlage 6.6'!D14+'Anlage 6.7'!D14+'Anlage 6.8'!D14+'Anlage 6.9'!D14+'Anlage 6.10'!D14+'Anlage 6.11'!D14</f>
        <v>1</v>
      </c>
      <c r="E14" s="264">
        <f>'Anlage 6.6'!E14+'Anlage 6.7'!E14+'Anlage 6.8'!E14+'Anlage 6.9'!E14+'Anlage 6.10'!E14+'Anlage 6.11'!E14</f>
        <v>0</v>
      </c>
      <c r="F14" s="264">
        <f>'Anlage 6.6'!F14+'Anlage 6.7'!F14+'Anlage 6.8'!F14+'Anlage 6.9'!F14+'Anlage 6.10'!F14+'Anlage 6.11'!F14</f>
        <v>34</v>
      </c>
      <c r="G14" s="437">
        <f>'Anlage 6.6'!G14+'Anlage 6.7'!G14+'Anlage 6.8'!G14+'Anlage 6.9'!G14+'Anlage 6.10'!G14+'Anlage 6.11'!G14</f>
        <v>2</v>
      </c>
      <c r="H14" s="458">
        <f>'Anlage 6.6'!H14+'Anlage 6.7'!H14+'Anlage 6.8'!H14+'Anlage 6.9'!H14+'Anlage 6.10'!H14+'Anlage 6.11'!H14</f>
        <v>36</v>
      </c>
      <c r="I14" s="254">
        <f>'Anlage 6.6'!I14+'Anlage 6.7'!I14+'Anlage 6.8'!I14+'Anlage 6.9'!I14+'Anlage 6.10'!I14+'Anlage 6.11'!I14</f>
        <v>7</v>
      </c>
      <c r="J14" s="264">
        <f>'Anlage 6.6'!J14+'Anlage 6.7'!J14+'Anlage 6.8'!J14+'Anlage 6.9'!J14+'Anlage 6.10'!J14+'Anlage 6.11'!J14</f>
        <v>11</v>
      </c>
      <c r="K14" s="264">
        <f>'Anlage 6.6'!K14+'Anlage 6.7'!K14+'Anlage 6.8'!K14+'Anlage 6.9'!K14+'Anlage 6.10'!K14+'Anlage 6.11'!K14</f>
        <v>48</v>
      </c>
      <c r="L14" s="437">
        <f>'Anlage 6.6'!L14+'Anlage 6.7'!L14+'Anlage 6.8'!L14+'Anlage 6.9'!L14+'Anlage 6.10'!L14+'Anlage 6.11'!L14</f>
        <v>0</v>
      </c>
      <c r="M14" s="400">
        <f>'Anlage 6.6'!M14+'Anlage 6.7'!M14+'Anlage 6.8'!M14+'Anlage 6.9'!M14+'Anlage 6.10'!M14+'Anlage 6.11'!M14</f>
        <v>102</v>
      </c>
      <c r="N14" s="438">
        <f>'Anlage 6.6'!N14+'Anlage 6.7'!N14+'Anlage 6.8'!N14+'Anlage 6.9'!N14+'Anlage 6.10'!N14+'Anlage 6.11'!N14</f>
        <v>0</v>
      </c>
      <c r="O14" s="400">
        <f>'Anlage 6.6'!O14+'Anlage 6.7'!O14+'Anlage 6.8'!O14+'Anlage 6.9'!O14+'Anlage 6.10'!O14+'Anlage 6.11'!O14</f>
        <v>102</v>
      </c>
    </row>
    <row r="15" spans="1:17" s="123" customFormat="1" ht="15.75" customHeight="1" thickBot="1" x14ac:dyDescent="0.3">
      <c r="A15" s="339" t="s">
        <v>43</v>
      </c>
      <c r="B15" s="278">
        <f>'Anlage 6.6'!B15+'Anlage 6.7'!B15+'Anlage 6.8'!B15+'Anlage 6.9'!B15+'Anlage 6.10'!B15+'Anlage 6.11'!B15</f>
        <v>25</v>
      </c>
      <c r="C15" s="442">
        <f>'Anlage 6.6'!C15+'Anlage 6.7'!C15+'Anlage 6.8'!C15+'Anlage 6.9'!C15+'Anlage 6.10'!C15+'Anlage 6.11'!C15</f>
        <v>61</v>
      </c>
      <c r="D15" s="442">
        <f>'Anlage 6.6'!D15+'Anlage 6.7'!D15+'Anlage 6.8'!D15+'Anlage 6.9'!D15+'Anlage 6.10'!D15+'Anlage 6.11'!D15</f>
        <v>79</v>
      </c>
      <c r="E15" s="442">
        <f>'Anlage 6.6'!E15+'Anlage 6.7'!E15+'Anlage 6.8'!E15+'Anlage 6.9'!E15+'Anlage 6.10'!E15+'Anlage 6.11'!E15</f>
        <v>13</v>
      </c>
      <c r="F15" s="442">
        <f>'Anlage 6.6'!F15+'Anlage 6.7'!F15+'Anlage 6.8'!F15+'Anlage 6.9'!F15+'Anlage 6.10'!F15+'Anlage 6.11'!F15</f>
        <v>178</v>
      </c>
      <c r="G15" s="443">
        <f>'Anlage 6.6'!G15+'Anlage 6.7'!G15+'Anlage 6.8'!G15+'Anlage 6.9'!G15+'Anlage 6.10'!G15+'Anlage 6.11'!G15</f>
        <v>5</v>
      </c>
      <c r="H15" s="345">
        <f>'Anlage 6.6'!H15+'Anlage 6.7'!H15+'Anlage 6.8'!H15+'Anlage 6.9'!H15+'Anlage 6.10'!H15+'Anlage 6.11'!H15</f>
        <v>183</v>
      </c>
      <c r="I15" s="444">
        <f>'Anlage 6.6'!I15+'Anlage 6.7'!I15+'Anlage 6.8'!I15+'Anlage 6.9'!I15+'Anlage 6.10'!I15+'Anlage 6.11'!I15</f>
        <v>42</v>
      </c>
      <c r="J15" s="442">
        <f>'Anlage 6.6'!J15+'Anlage 6.7'!J15+'Anlage 6.8'!J15+'Anlage 6.9'!J15+'Anlage 6.10'!J15+'Anlage 6.11'!J15</f>
        <v>15</v>
      </c>
      <c r="K15" s="442">
        <f>'Anlage 6.6'!K15+'Anlage 6.7'!K15+'Anlage 6.8'!K15+'Anlage 6.9'!K15+'Anlage 6.10'!K15+'Anlage 6.11'!K15</f>
        <v>57</v>
      </c>
      <c r="L15" s="443">
        <f>'Anlage 6.6'!L15+'Anlage 6.7'!L15+'Anlage 6.8'!L15+'Anlage 6.9'!L15+'Anlage 6.10'!L15+'Anlage 6.11'!L15</f>
        <v>6</v>
      </c>
      <c r="M15" s="345">
        <f>'Anlage 6.6'!M15+'Anlage 6.7'!M15+'Anlage 6.8'!M15+'Anlage 6.9'!M15+'Anlage 6.10'!M15+'Anlage 6.11'!M15</f>
        <v>303</v>
      </c>
      <c r="N15" s="406">
        <f>'Anlage 6.6'!N15+'Anlage 6.7'!N15+'Anlage 6.8'!N15+'Anlage 6.9'!N15+'Anlage 6.10'!N15+'Anlage 6.11'!N15</f>
        <v>37</v>
      </c>
      <c r="O15" s="345">
        <f>'Anlage 6.6'!O15+'Anlage 6.7'!O15+'Anlage 6.8'!O15+'Anlage 6.9'!O15+'Anlage 6.10'!O15+'Anlage 6.11'!O15</f>
        <v>340</v>
      </c>
    </row>
    <row r="16" spans="1:17" ht="16.5" customHeight="1" x14ac:dyDescent="0.25">
      <c r="A16" s="448" t="s">
        <v>44</v>
      </c>
      <c r="B16" s="217">
        <f>'Anlage 6.6'!B16+'Anlage 6.7'!B16+'Anlage 6.8'!B16+'Anlage 6.9'!B16+'Anlage 6.10'!B16+'Anlage 6.11'!B16</f>
        <v>74</v>
      </c>
      <c r="C16" s="234">
        <f>'Anlage 6.6'!C16+'Anlage 6.7'!C16+'Anlage 6.8'!C16+'Anlage 6.9'!C16+'Anlage 6.10'!C16+'Anlage 6.11'!C16</f>
        <v>1</v>
      </c>
      <c r="D16" s="234">
        <f>'Anlage 6.6'!D16+'Anlage 6.7'!D16+'Anlage 6.8'!D16+'Anlage 6.9'!D16+'Anlage 6.10'!D16+'Anlage 6.11'!D16</f>
        <v>27</v>
      </c>
      <c r="E16" s="234">
        <f>'Anlage 6.6'!E16+'Anlage 6.7'!E16+'Anlage 6.8'!E16+'Anlage 6.9'!E16+'Anlage 6.10'!E16+'Anlage 6.11'!E16</f>
        <v>2</v>
      </c>
      <c r="F16" s="234">
        <f>'Anlage 6.6'!F16+'Anlage 6.7'!F16+'Anlage 6.8'!F16+'Anlage 6.9'!F16+'Anlage 6.10'!F16+'Anlage 6.11'!F16</f>
        <v>104</v>
      </c>
      <c r="G16" s="432">
        <f>'Anlage 6.6'!G16+'Anlage 6.7'!G16+'Anlage 6.8'!G16+'Anlage 6.9'!G16+'Anlage 6.10'!G16+'Anlage 6.11'!G16</f>
        <v>2</v>
      </c>
      <c r="H16" s="328">
        <f>'Anlage 6.6'!H16+'Anlage 6.7'!H16+'Anlage 6.8'!H16+'Anlage 6.9'!H16+'Anlage 6.10'!H16+'Anlage 6.11'!H16</f>
        <v>106</v>
      </c>
      <c r="I16" s="223">
        <f>'Anlage 6.6'!I16+'Anlage 6.7'!I16+'Anlage 6.8'!I16+'Anlage 6.9'!I16+'Anlage 6.10'!I16+'Anlage 6.11'!I16</f>
        <v>4</v>
      </c>
      <c r="J16" s="234">
        <f>'Anlage 6.6'!J16+'Anlage 6.7'!J16+'Anlage 6.8'!J16+'Anlage 6.9'!J16+'Anlage 6.10'!J16+'Anlage 6.11'!J16</f>
        <v>0</v>
      </c>
      <c r="K16" s="234">
        <f>'Anlage 6.6'!K16+'Anlage 6.7'!K16+'Anlage 6.8'!K16+'Anlage 6.9'!K16+'Anlage 6.10'!K16+'Anlage 6.11'!K16</f>
        <v>2</v>
      </c>
      <c r="L16" s="432">
        <f>'Anlage 6.6'!L16+'Anlage 6.7'!L16+'Anlage 6.8'!L16+'Anlage 6.9'!L16+'Anlage 6.10'!L16+'Anlage 6.11'!L16</f>
        <v>0</v>
      </c>
      <c r="M16" s="328">
        <f>'Anlage 6.6'!M16+'Anlage 6.7'!M16+'Anlage 6.8'!M16+'Anlage 6.9'!M16+'Anlage 6.10'!M16+'Anlage 6.11'!M16</f>
        <v>112</v>
      </c>
      <c r="N16" s="433">
        <f>'Anlage 6.6'!N16+'Anlage 6.7'!N16+'Anlage 6.8'!N16+'Anlage 6.9'!N16+'Anlage 6.10'!N16+'Anlage 6.11'!N16</f>
        <v>0</v>
      </c>
      <c r="O16" s="328">
        <f>'Anlage 6.6'!O16+'Anlage 6.7'!O16+'Anlage 6.8'!O16+'Anlage 6.9'!O16+'Anlage 6.10'!O16+'Anlage 6.11'!O16</f>
        <v>112</v>
      </c>
    </row>
    <row r="17" spans="1:15" ht="17.25" customHeight="1" x14ac:dyDescent="0.25">
      <c r="A17" s="331" t="s">
        <v>52</v>
      </c>
      <c r="B17" s="152">
        <f>'Anlage 6.6'!B17+'Anlage 6.7'!B17+'Anlage 6.8'!B17+'Anlage 6.9'!B17+'Anlage 6.10'!B17+'Anlage 6.11'!B17</f>
        <v>0</v>
      </c>
      <c r="C17" s="157">
        <f>'Anlage 6.6'!C17+'Anlage 6.7'!C17+'Anlage 6.8'!C17+'Anlage 6.9'!C17+'Anlage 6.10'!C17+'Anlage 6.11'!C17</f>
        <v>2</v>
      </c>
      <c r="D17" s="157">
        <f>'Anlage 6.6'!D17+'Anlage 6.7'!D17+'Anlage 6.8'!D17+'Anlage 6.9'!D17+'Anlage 6.10'!D17+'Anlage 6.11'!D17</f>
        <v>3</v>
      </c>
      <c r="E17" s="157">
        <f>'Anlage 6.6'!E17+'Anlage 6.7'!E17+'Anlage 6.8'!E17+'Anlage 6.9'!E17+'Anlage 6.10'!E17+'Anlage 6.11'!E17</f>
        <v>0</v>
      </c>
      <c r="F17" s="157">
        <f>'Anlage 6.6'!F17+'Anlage 6.7'!F17+'Anlage 6.8'!F17+'Anlage 6.9'!F17+'Anlage 6.10'!F17+'Anlage 6.11'!F17</f>
        <v>5</v>
      </c>
      <c r="G17" s="434">
        <f>'Anlage 6.6'!G17+'Anlage 6.7'!G17+'Anlage 6.8'!G17+'Anlage 6.9'!G17+'Anlage 6.10'!G17+'Anlage 6.11'!G17</f>
        <v>0</v>
      </c>
      <c r="H17" s="317">
        <f>'Anlage 6.6'!H17+'Anlage 6.7'!H17+'Anlage 6.8'!H17+'Anlage 6.9'!H17+'Anlage 6.10'!H17+'Anlage 6.11'!H17</f>
        <v>5</v>
      </c>
      <c r="I17" s="343">
        <f>'Anlage 6.6'!I17+'Anlage 6.7'!I17+'Anlage 6.8'!I17+'Anlage 6.9'!I17+'Anlage 6.10'!I17+'Anlage 6.11'!I17</f>
        <v>9</v>
      </c>
      <c r="J17" s="157">
        <f>'Anlage 6.6'!J17+'Anlage 6.7'!J17+'Anlage 6.8'!J17+'Anlage 6.9'!J17+'Anlage 6.10'!J17+'Anlage 6.11'!J17</f>
        <v>5</v>
      </c>
      <c r="K17" s="157">
        <f>'Anlage 6.6'!K17+'Anlage 6.7'!K17+'Anlage 6.8'!K17+'Anlage 6.9'!K17+'Anlage 6.10'!K17+'Anlage 6.11'!K17</f>
        <v>1</v>
      </c>
      <c r="L17" s="434">
        <f>'Anlage 6.6'!L17+'Anlage 6.7'!L17+'Anlage 6.8'!L17+'Anlage 6.9'!L17+'Anlage 6.10'!L17+'Anlage 6.11'!L17</f>
        <v>1</v>
      </c>
      <c r="M17" s="317">
        <f>'Anlage 6.6'!M17+'Anlage 6.7'!M17+'Anlage 6.8'!M17+'Anlage 6.9'!M17+'Anlage 6.10'!M17+'Anlage 6.11'!M17</f>
        <v>21</v>
      </c>
      <c r="N17" s="435">
        <f>'Anlage 6.6'!N17+'Anlage 6.7'!N17+'Anlage 6.8'!N17+'Anlage 6.9'!N17+'Anlage 6.10'!N17+'Anlage 6.11'!N17</f>
        <v>1</v>
      </c>
      <c r="O17" s="317">
        <f>'Anlage 6.6'!O17+'Anlage 6.7'!O17+'Anlage 6.8'!O17+'Anlage 6.9'!O17+'Anlage 6.10'!O17+'Anlage 6.11'!O17</f>
        <v>22</v>
      </c>
    </row>
    <row r="18" spans="1:15" ht="17.25" customHeight="1" thickBot="1" x14ac:dyDescent="0.3">
      <c r="A18" s="449" t="s">
        <v>45</v>
      </c>
      <c r="B18" s="228">
        <f>'Anlage 6.6'!B18+'Anlage 6.7'!B18+'Anlage 6.8'!B18+'Anlage 6.9'!B18+'Anlage 6.10'!B18+'Anlage 6.11'!B18</f>
        <v>10</v>
      </c>
      <c r="C18" s="264">
        <f>'Anlage 6.6'!C18+'Anlage 6.7'!C18+'Anlage 6.8'!C18+'Anlage 6.9'!C18+'Anlage 6.10'!C18+'Anlage 6.11'!C18</f>
        <v>9</v>
      </c>
      <c r="D18" s="264">
        <f>'Anlage 6.6'!D18+'Anlage 6.7'!D18+'Anlage 6.8'!D18+'Anlage 6.9'!D18+'Anlage 6.10'!D18+'Anlage 6.11'!D18</f>
        <v>15</v>
      </c>
      <c r="E18" s="264">
        <f>'Anlage 6.6'!E18+'Anlage 6.7'!E18+'Anlage 6.8'!E18+'Anlage 6.9'!E18+'Anlage 6.10'!E18+'Anlage 6.11'!E18</f>
        <v>1</v>
      </c>
      <c r="F18" s="264">
        <f>'Anlage 6.6'!F18+'Anlage 6.7'!F18+'Anlage 6.8'!F18+'Anlage 6.9'!F18+'Anlage 6.10'!F18+'Anlage 6.11'!F18</f>
        <v>35</v>
      </c>
      <c r="G18" s="437">
        <f>'Anlage 6.6'!G18+'Anlage 6.7'!G18+'Anlage 6.8'!G18+'Anlage 6.9'!G18+'Anlage 6.10'!G18+'Anlage 6.11'!G18</f>
        <v>2</v>
      </c>
      <c r="H18" s="400">
        <f>'Anlage 6.6'!H18+'Anlage 6.7'!H18+'Anlage 6.8'!H18+'Anlage 6.9'!H18+'Anlage 6.10'!H18+'Anlage 6.11'!H18</f>
        <v>37</v>
      </c>
      <c r="I18" s="254">
        <f>'Anlage 6.6'!I18+'Anlage 6.7'!I18+'Anlage 6.8'!I18+'Anlage 6.9'!I18+'Anlage 6.10'!I18+'Anlage 6.11'!I18</f>
        <v>12</v>
      </c>
      <c r="J18" s="264">
        <f>'Anlage 6.6'!J18+'Anlage 6.7'!J18+'Anlage 6.8'!J18+'Anlage 6.9'!J18+'Anlage 6.10'!J18+'Anlage 6.11'!J18</f>
        <v>3</v>
      </c>
      <c r="K18" s="264">
        <f>'Anlage 6.6'!K18+'Anlage 6.7'!K18+'Anlage 6.8'!K18+'Anlage 6.9'!K18+'Anlage 6.10'!K18+'Anlage 6.11'!K18</f>
        <v>5</v>
      </c>
      <c r="L18" s="437">
        <f>'Anlage 6.6'!L18+'Anlage 6.7'!L18+'Anlage 6.8'!L18+'Anlage 6.9'!L18+'Anlage 6.10'!L18+'Anlage 6.11'!L18</f>
        <v>1</v>
      </c>
      <c r="M18" s="400">
        <f>'Anlage 6.6'!M18+'Anlage 6.7'!M18+'Anlage 6.8'!M18+'Anlage 6.9'!M18+'Anlage 6.10'!M18+'Anlage 6.11'!M18</f>
        <v>58</v>
      </c>
      <c r="N18" s="438">
        <f>'Anlage 6.6'!N18+'Anlage 6.7'!N18+'Anlage 6.8'!N18+'Anlage 6.9'!N18+'Anlage 6.10'!N18+'Anlage 6.11'!N18</f>
        <v>1</v>
      </c>
      <c r="O18" s="400">
        <f>'Anlage 6.6'!O18+'Anlage 6.7'!O18+'Anlage 6.8'!O18+'Anlage 6.9'!O18+'Anlage 6.10'!O18+'Anlage 6.11'!O18</f>
        <v>59</v>
      </c>
    </row>
    <row r="19" spans="1:15" s="123" customFormat="1" ht="20.100000000000001" customHeight="1" thickBot="1" x14ac:dyDescent="0.3">
      <c r="A19" s="339" t="s">
        <v>46</v>
      </c>
      <c r="B19" s="278">
        <f>'Anlage 6.6'!B19+'Anlage 6.7'!B19+'Anlage 6.8'!B19+'Anlage 6.9'!B19+'Anlage 6.10'!B19+'Anlage 6.11'!B19</f>
        <v>84</v>
      </c>
      <c r="C19" s="442">
        <f>'Anlage 6.6'!C19+'Anlage 6.7'!C19+'Anlage 6.8'!C19+'Anlage 6.9'!C19+'Anlage 6.10'!C19+'Anlage 6.11'!C19</f>
        <v>12</v>
      </c>
      <c r="D19" s="442">
        <f>'Anlage 6.6'!D19+'Anlage 6.7'!D19+'Anlage 6.8'!D19+'Anlage 6.9'!D19+'Anlage 6.10'!D19+'Anlage 6.11'!D19</f>
        <v>45</v>
      </c>
      <c r="E19" s="442">
        <f>'Anlage 6.6'!E19+'Anlage 6.7'!E19+'Anlage 6.8'!E19+'Anlage 6.9'!E19+'Anlage 6.10'!E19+'Anlage 6.11'!E19</f>
        <v>3</v>
      </c>
      <c r="F19" s="442">
        <f>'Anlage 6.6'!F19+'Anlage 6.7'!F19+'Anlage 6.8'!F19+'Anlage 6.9'!F19+'Anlage 6.10'!F19+'Anlage 6.11'!F19</f>
        <v>144</v>
      </c>
      <c r="G19" s="443">
        <f>'Anlage 6.6'!G19+'Anlage 6.7'!G19+'Anlage 6.8'!G19+'Anlage 6.9'!G19+'Anlage 6.10'!G19+'Anlage 6.11'!G19</f>
        <v>4</v>
      </c>
      <c r="H19" s="345">
        <f>'Anlage 6.6'!H19+'Anlage 6.7'!H19+'Anlage 6.8'!H19+'Anlage 6.9'!H19+'Anlage 6.10'!H19+'Anlage 6.11'!H19</f>
        <v>148</v>
      </c>
      <c r="I19" s="444">
        <f>'Anlage 6.6'!I19+'Anlage 6.7'!I19+'Anlage 6.8'!I19+'Anlage 6.9'!I19+'Anlage 6.10'!I19+'Anlage 6.11'!I19</f>
        <v>25</v>
      </c>
      <c r="J19" s="442">
        <f>'Anlage 6.6'!J19+'Anlage 6.7'!J19+'Anlage 6.8'!J19+'Anlage 6.9'!J19+'Anlage 6.10'!J19+'Anlage 6.11'!J19</f>
        <v>8</v>
      </c>
      <c r="K19" s="442">
        <f>'Anlage 6.6'!K19+'Anlage 6.7'!K19+'Anlage 6.8'!K19+'Anlage 6.9'!K19+'Anlage 6.10'!K19+'Anlage 6.11'!K19</f>
        <v>8</v>
      </c>
      <c r="L19" s="443">
        <f>'Anlage 6.6'!L19+'Anlage 6.7'!L19+'Anlage 6.8'!L19+'Anlage 6.9'!L19+'Anlage 6.10'!L19+'Anlage 6.11'!L19</f>
        <v>2</v>
      </c>
      <c r="M19" s="345">
        <f>'Anlage 6.6'!M19+'Anlage 6.7'!M19+'Anlage 6.8'!M19+'Anlage 6.9'!M19+'Anlage 6.10'!M19+'Anlage 6.11'!M19</f>
        <v>191</v>
      </c>
      <c r="N19" s="406">
        <f>'Anlage 6.6'!N19+'Anlage 6.7'!N19+'Anlage 6.8'!N19+'Anlage 6.9'!N19+'Anlage 6.10'!N19+'Anlage 6.11'!N19</f>
        <v>2</v>
      </c>
      <c r="O19" s="345">
        <f>'Anlage 6.6'!O19+'Anlage 6.7'!O19+'Anlage 6.8'!O19+'Anlage 6.9'!O19+'Anlage 6.10'!O19+'Anlage 6.11'!O19</f>
        <v>193</v>
      </c>
    </row>
    <row r="20" spans="1:15" s="123" customFormat="1" ht="20.100000000000001" customHeight="1" thickBot="1" x14ac:dyDescent="0.3">
      <c r="A20" s="424" t="s">
        <v>47</v>
      </c>
      <c r="B20" s="278">
        <f>'Anlage 6.6'!B20+'Anlage 6.7'!B20+'Anlage 6.8'!B20+'Anlage 6.9'!B20+'Anlage 6.10'!B20+'Anlage 6.11'!B20</f>
        <v>159</v>
      </c>
      <c r="C20" s="442">
        <f>'Anlage 6.6'!C20+'Anlage 6.7'!C20+'Anlage 6.8'!C20+'Anlage 6.9'!C20+'Anlage 6.10'!C20+'Anlage 6.11'!C20</f>
        <v>78</v>
      </c>
      <c r="D20" s="442">
        <f>'Anlage 6.6'!D20+'Anlage 6.7'!D20+'Anlage 6.8'!D20+'Anlage 6.9'!D20+'Anlage 6.10'!D20+'Anlage 6.11'!D20</f>
        <v>155</v>
      </c>
      <c r="E20" s="442">
        <f>'Anlage 6.6'!E20+'Anlage 6.7'!E20+'Anlage 6.8'!E20+'Anlage 6.9'!E20+'Anlage 6.10'!E20+'Anlage 6.11'!E20</f>
        <v>52</v>
      </c>
      <c r="F20" s="442">
        <f>'Anlage 6.6'!F20+'Anlage 6.7'!F20+'Anlage 6.8'!F20+'Anlage 6.9'!F20+'Anlage 6.10'!F20+'Anlage 6.11'!F20</f>
        <v>444</v>
      </c>
      <c r="G20" s="461">
        <f>'Anlage 6.6'!G20+'Anlage 6.7'!G20+'Anlage 6.8'!G20+'Anlage 6.9'!G20+'Anlage 6.10'!G20+'Anlage 6.11'!G20</f>
        <v>12</v>
      </c>
      <c r="H20" s="406">
        <f>'Anlage 6.6'!H20+'Anlage 6.7'!H20+'Anlage 6.8'!H20+'Anlage 6.9'!H20+'Anlage 6.10'!H20+'Anlage 6.11'!H20</f>
        <v>456</v>
      </c>
      <c r="I20" s="278">
        <f>'Anlage 6.6'!I20+'Anlage 6.7'!I20+'Anlage 6.8'!I20+'Anlage 6.9'!I20+'Anlage 6.10'!I20+'Anlage 6.11'!I20</f>
        <v>73</v>
      </c>
      <c r="J20" s="442">
        <f>'Anlage 6.6'!J20+'Anlage 6.7'!J20+'Anlage 6.8'!J20+'Anlage 6.9'!J20+'Anlage 6.10'!J20+'Anlage 6.11'!J20</f>
        <v>31</v>
      </c>
      <c r="K20" s="442">
        <f>'Anlage 6.6'!K20+'Anlage 6.7'!K20+'Anlage 6.8'!K20+'Anlage 6.9'!K20+'Anlage 6.10'!K20+'Anlage 6.11'!K20</f>
        <v>66</v>
      </c>
      <c r="L20" s="461">
        <f>'Anlage 6.6'!L20+'Anlage 6.7'!L20+'Anlage 6.8'!L20+'Anlage 6.9'!L20+'Anlage 6.10'!L20+'Anlage 6.11'!L20</f>
        <v>10</v>
      </c>
      <c r="M20" s="406">
        <f>'Anlage 6.6'!M20+'Anlage 6.7'!M20+'Anlage 6.8'!M20+'Anlage 6.9'!M20+'Anlage 6.10'!M20+'Anlage 6.11'!M20</f>
        <v>636</v>
      </c>
      <c r="N20" s="345">
        <f>'Anlage 6.6'!N20+'Anlage 6.7'!N20+'Anlage 6.8'!N20+'Anlage 6.9'!N20+'Anlage 6.10'!N20+'Anlage 6.11'!N20</f>
        <v>39</v>
      </c>
      <c r="O20" s="407">
        <f>'Anlage 6.6'!O20+'Anlage 6.7'!O20+'Anlage 6.8'!O20+'Anlage 6.9'!O20+'Anlage 6.10'!O20+'Anlage 6.11'!O20</f>
        <v>675</v>
      </c>
    </row>
    <row r="21" spans="1:15" ht="14.25" hidden="1" thickBot="1" x14ac:dyDescent="0.3">
      <c r="A21" s="793" t="s">
        <v>206</v>
      </c>
      <c r="B21" s="798"/>
      <c r="C21" s="819"/>
      <c r="D21" s="819"/>
      <c r="E21" s="819"/>
      <c r="F21" s="819"/>
      <c r="G21" s="820"/>
      <c r="H21" s="821"/>
      <c r="I21" s="798"/>
      <c r="J21" s="819"/>
      <c r="K21" s="819"/>
      <c r="L21" s="820"/>
      <c r="M21" s="821"/>
      <c r="N21" s="822"/>
      <c r="O21" s="823"/>
    </row>
    <row r="22" spans="1:15" ht="14.25" thickBot="1" x14ac:dyDescent="0.3">
      <c r="A22" s="424" t="s">
        <v>294</v>
      </c>
      <c r="B22" s="278">
        <f>SUM(B20:B21)</f>
        <v>159</v>
      </c>
      <c r="C22" s="442">
        <f t="shared" ref="C22:O22" si="0">SUM(C20:C21)</f>
        <v>78</v>
      </c>
      <c r="D22" s="442">
        <f t="shared" si="0"/>
        <v>155</v>
      </c>
      <c r="E22" s="442">
        <f t="shared" si="0"/>
        <v>52</v>
      </c>
      <c r="F22" s="442">
        <f t="shared" si="0"/>
        <v>444</v>
      </c>
      <c r="G22" s="461">
        <f t="shared" si="0"/>
        <v>12</v>
      </c>
      <c r="H22" s="406">
        <f t="shared" si="0"/>
        <v>456</v>
      </c>
      <c r="I22" s="278">
        <f t="shared" si="0"/>
        <v>73</v>
      </c>
      <c r="J22" s="442">
        <f t="shared" si="0"/>
        <v>31</v>
      </c>
      <c r="K22" s="442">
        <f t="shared" si="0"/>
        <v>66</v>
      </c>
      <c r="L22" s="461">
        <f t="shared" si="0"/>
        <v>10</v>
      </c>
      <c r="M22" s="406">
        <f t="shared" si="0"/>
        <v>636</v>
      </c>
      <c r="N22" s="345">
        <f t="shared" si="0"/>
        <v>39</v>
      </c>
      <c r="O22" s="407">
        <f t="shared" si="0"/>
        <v>675</v>
      </c>
    </row>
    <row r="23" spans="1:15" ht="14.25" thickBot="1" x14ac:dyDescent="0.3"/>
    <row r="24" spans="1:15" ht="14.25" thickBot="1" x14ac:dyDescent="0.3">
      <c r="A24" s="314">
        <f>O22</f>
        <v>675</v>
      </c>
      <c r="B24" s="406" t="s">
        <v>116</v>
      </c>
      <c r="C24" s="406"/>
      <c r="D24" s="407"/>
      <c r="E24" s="454">
        <f>'Anlage 1a'!Z45</f>
        <v>5297</v>
      </c>
      <c r="F24" s="406" t="s">
        <v>117</v>
      </c>
      <c r="G24" s="407"/>
      <c r="H24" s="409" t="s">
        <v>118</v>
      </c>
      <c r="I24" s="406"/>
      <c r="J24" s="406"/>
      <c r="K24" s="406"/>
      <c r="L24" s="406"/>
      <c r="M24" s="406"/>
      <c r="N24" s="410">
        <f>A24/E24*100</f>
        <v>12.743062110628658</v>
      </c>
      <c r="O24" s="320" t="s">
        <v>50</v>
      </c>
    </row>
  </sheetData>
  <customSheetViews>
    <customSheetView guid="{0224233B-564D-4BBC-A6B2-E639E6D2CFB3}" showPageBreak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view="pageLayout" zoomScaleNormal="100" zoomScaleSheetLayoutView="100" workbookViewId="0">
      <selection activeCell="O18" sqref="O18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/>
      <c r="B2" s="312"/>
      <c r="C2" s="462"/>
      <c r="D2" s="462"/>
      <c r="E2" s="462" t="s">
        <v>131</v>
      </c>
      <c r="F2" s="462"/>
      <c r="G2" s="463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132</v>
      </c>
      <c r="B5" s="412" t="s">
        <v>102</v>
      </c>
      <c r="C5" s="412" t="s">
        <v>103</v>
      </c>
      <c r="D5" s="412" t="s">
        <v>104</v>
      </c>
      <c r="E5" s="413" t="s">
        <v>105</v>
      </c>
      <c r="F5" s="414" t="s">
        <v>106</v>
      </c>
      <c r="G5" s="415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6.5" customHeight="1" thickBot="1" x14ac:dyDescent="0.3">
      <c r="A6" s="446" t="s">
        <v>36</v>
      </c>
      <c r="B6" s="581">
        <v>0</v>
      </c>
      <c r="C6" s="581">
        <v>0</v>
      </c>
      <c r="D6" s="581">
        <v>0</v>
      </c>
      <c r="E6" s="582">
        <v>0</v>
      </c>
      <c r="F6" s="583">
        <f>SUM(B6:E6)</f>
        <v>0</v>
      </c>
      <c r="G6" s="581">
        <v>0</v>
      </c>
      <c r="H6" s="584">
        <f t="shared" ref="H6:H20" si="0">SUM(F6:G6)</f>
        <v>0</v>
      </c>
      <c r="I6" s="585">
        <v>0</v>
      </c>
      <c r="J6" s="585">
        <v>0</v>
      </c>
      <c r="K6" s="585">
        <v>0</v>
      </c>
      <c r="L6" s="585">
        <v>0</v>
      </c>
      <c r="M6" s="586">
        <f>SUM(H6,I6,J6,K6,L6)</f>
        <v>0</v>
      </c>
      <c r="N6" s="585">
        <v>0</v>
      </c>
      <c r="O6" s="586">
        <f>SUM(M6,N6)</f>
        <v>0</v>
      </c>
    </row>
    <row r="7" spans="1:17" ht="14.25" thickBot="1" x14ac:dyDescent="0.3">
      <c r="A7" s="339" t="s">
        <v>38</v>
      </c>
      <c r="B7" s="587">
        <f t="shared" ref="B7:G7" si="1">SUM(B6:B6)</f>
        <v>0</v>
      </c>
      <c r="C7" s="588">
        <f t="shared" si="1"/>
        <v>0</v>
      </c>
      <c r="D7" s="588">
        <f t="shared" si="1"/>
        <v>0</v>
      </c>
      <c r="E7" s="589">
        <f t="shared" si="1"/>
        <v>0</v>
      </c>
      <c r="F7" s="590">
        <f t="shared" si="1"/>
        <v>0</v>
      </c>
      <c r="G7" s="587">
        <f t="shared" si="1"/>
        <v>0</v>
      </c>
      <c r="H7" s="588">
        <f t="shared" si="0"/>
        <v>0</v>
      </c>
      <c r="I7" s="588">
        <f t="shared" ref="I7:O7" si="2">SUM(I6:I6)</f>
        <v>0</v>
      </c>
      <c r="J7" s="588">
        <f t="shared" si="2"/>
        <v>0</v>
      </c>
      <c r="K7" s="588">
        <f t="shared" si="2"/>
        <v>0</v>
      </c>
      <c r="L7" s="588">
        <f t="shared" si="2"/>
        <v>0</v>
      </c>
      <c r="M7" s="590">
        <f t="shared" si="2"/>
        <v>0</v>
      </c>
      <c r="N7" s="588">
        <f t="shared" si="2"/>
        <v>0</v>
      </c>
      <c r="O7" s="590">
        <f t="shared" si="2"/>
        <v>0</v>
      </c>
    </row>
    <row r="8" spans="1:17" ht="14.25" thickBot="1" x14ac:dyDescent="0.3">
      <c r="A8" s="205" t="s">
        <v>56</v>
      </c>
      <c r="B8" s="591">
        <v>0</v>
      </c>
      <c r="C8" s="591">
        <v>0</v>
      </c>
      <c r="D8" s="591">
        <v>0</v>
      </c>
      <c r="E8" s="592">
        <v>0</v>
      </c>
      <c r="F8" s="583">
        <f>SUM(B8:E8)</f>
        <v>0</v>
      </c>
      <c r="G8" s="591">
        <v>0</v>
      </c>
      <c r="H8" s="584">
        <f t="shared" si="0"/>
        <v>0</v>
      </c>
      <c r="I8" s="593">
        <v>0</v>
      </c>
      <c r="J8" s="593">
        <v>0</v>
      </c>
      <c r="K8" s="593">
        <v>0</v>
      </c>
      <c r="L8" s="593">
        <v>0</v>
      </c>
      <c r="M8" s="594">
        <v>0</v>
      </c>
      <c r="N8" s="593">
        <v>0</v>
      </c>
      <c r="O8" s="594">
        <f>SUM(M8,N8)</f>
        <v>0</v>
      </c>
    </row>
    <row r="9" spans="1:17" ht="14.25" hidden="1" thickBot="1" x14ac:dyDescent="0.3">
      <c r="A9" s="662" t="s">
        <v>177</v>
      </c>
      <c r="B9" s="669"/>
      <c r="C9" s="669"/>
      <c r="D9" s="669"/>
      <c r="E9" s="816"/>
      <c r="F9" s="805"/>
      <c r="G9" s="669"/>
      <c r="H9" s="667"/>
      <c r="I9" s="671"/>
      <c r="J9" s="671"/>
      <c r="K9" s="671"/>
      <c r="L9" s="671"/>
      <c r="M9" s="817"/>
      <c r="N9" s="671"/>
      <c r="O9" s="817"/>
    </row>
    <row r="10" spans="1:17" ht="14.25" thickBot="1" x14ac:dyDescent="0.3">
      <c r="A10" s="318" t="s">
        <v>55</v>
      </c>
      <c r="B10" s="204">
        <f t="shared" ref="B10:G10" si="3">SUM(B8:B9)</f>
        <v>0</v>
      </c>
      <c r="C10" s="184">
        <f t="shared" si="3"/>
        <v>0</v>
      </c>
      <c r="D10" s="184">
        <f t="shared" si="3"/>
        <v>0</v>
      </c>
      <c r="E10" s="249">
        <f t="shared" si="3"/>
        <v>0</v>
      </c>
      <c r="F10" s="319">
        <f t="shared" si="3"/>
        <v>0</v>
      </c>
      <c r="G10" s="204">
        <f t="shared" si="3"/>
        <v>0</v>
      </c>
      <c r="H10" s="184">
        <f t="shared" si="0"/>
        <v>0</v>
      </c>
      <c r="I10" s="184">
        <f t="shared" ref="I10:O10" si="4">SUM(I8:I9)</f>
        <v>0</v>
      </c>
      <c r="J10" s="184">
        <f t="shared" si="4"/>
        <v>0</v>
      </c>
      <c r="K10" s="184">
        <f t="shared" si="4"/>
        <v>0</v>
      </c>
      <c r="L10" s="184">
        <f t="shared" si="4"/>
        <v>0</v>
      </c>
      <c r="M10" s="319">
        <f t="shared" si="4"/>
        <v>0</v>
      </c>
      <c r="N10" s="184">
        <f t="shared" si="4"/>
        <v>0</v>
      </c>
      <c r="O10" s="319">
        <f t="shared" si="4"/>
        <v>0</v>
      </c>
    </row>
    <row r="11" spans="1:17" x14ac:dyDescent="0.25">
      <c r="A11" s="448" t="s">
        <v>39</v>
      </c>
      <c r="B11" s="214">
        <v>5</v>
      </c>
      <c r="C11" s="216">
        <v>1</v>
      </c>
      <c r="D11" s="216">
        <v>7</v>
      </c>
      <c r="E11" s="421">
        <v>1</v>
      </c>
      <c r="F11" s="328">
        <f>SUM(B11:E11)</f>
        <v>14</v>
      </c>
      <c r="G11" s="214">
        <v>0</v>
      </c>
      <c r="H11" s="282">
        <f t="shared" si="0"/>
        <v>14</v>
      </c>
      <c r="I11" s="216">
        <v>3</v>
      </c>
      <c r="J11" s="216">
        <v>1</v>
      </c>
      <c r="K11" s="216">
        <v>0</v>
      </c>
      <c r="L11" s="216">
        <v>0</v>
      </c>
      <c r="M11" s="398">
        <f>SUM(H11,I11,J11,K11,L11)</f>
        <v>18</v>
      </c>
      <c r="N11" s="216">
        <v>0</v>
      </c>
      <c r="O11" s="398">
        <f>SUM(M11,N11)</f>
        <v>18</v>
      </c>
    </row>
    <row r="12" spans="1:17" x14ac:dyDescent="0.25">
      <c r="A12" s="331" t="s">
        <v>40</v>
      </c>
      <c r="B12" s="197">
        <v>2</v>
      </c>
      <c r="C12" s="150">
        <v>6</v>
      </c>
      <c r="D12" s="150">
        <v>1</v>
      </c>
      <c r="E12" s="332">
        <v>3</v>
      </c>
      <c r="F12" s="328">
        <f>SUM(B12:E12)</f>
        <v>12</v>
      </c>
      <c r="G12" s="197">
        <v>0</v>
      </c>
      <c r="H12" s="161">
        <f t="shared" si="0"/>
        <v>12</v>
      </c>
      <c r="I12" s="150">
        <v>6</v>
      </c>
      <c r="J12" s="150">
        <v>2</v>
      </c>
      <c r="K12" s="150">
        <v>1</v>
      </c>
      <c r="L12" s="150">
        <v>1</v>
      </c>
      <c r="M12" s="335">
        <f>SUM(H12,I12,J12,K12,L12)</f>
        <v>22</v>
      </c>
      <c r="N12" s="150">
        <v>7</v>
      </c>
      <c r="O12" s="335">
        <f>SUM(M12,N12)</f>
        <v>29</v>
      </c>
    </row>
    <row r="13" spans="1:17" x14ac:dyDescent="0.25">
      <c r="A13" s="331" t="s">
        <v>41</v>
      </c>
      <c r="B13" s="197">
        <v>1</v>
      </c>
      <c r="C13" s="150">
        <v>0</v>
      </c>
      <c r="D13" s="150">
        <v>7</v>
      </c>
      <c r="E13" s="332">
        <v>0</v>
      </c>
      <c r="F13" s="328">
        <f>SUM(B13:E13)</f>
        <v>8</v>
      </c>
      <c r="G13" s="197">
        <v>0</v>
      </c>
      <c r="H13" s="161">
        <f t="shared" si="0"/>
        <v>8</v>
      </c>
      <c r="I13" s="150">
        <v>4</v>
      </c>
      <c r="J13" s="150">
        <v>0</v>
      </c>
      <c r="K13" s="150">
        <v>0</v>
      </c>
      <c r="L13" s="150">
        <v>1</v>
      </c>
      <c r="M13" s="335">
        <f>SUM(H13,I13,J13,K13,L13)</f>
        <v>13</v>
      </c>
      <c r="N13" s="150">
        <v>1</v>
      </c>
      <c r="O13" s="335">
        <f>SUM(M13,N13)</f>
        <v>14</v>
      </c>
    </row>
    <row r="14" spans="1:17" ht="14.25" thickBot="1" x14ac:dyDescent="0.3">
      <c r="A14" s="449" t="s">
        <v>42</v>
      </c>
      <c r="B14" s="225">
        <v>0</v>
      </c>
      <c r="C14" s="227">
        <v>1</v>
      </c>
      <c r="D14" s="227">
        <v>0</v>
      </c>
      <c r="E14" s="336">
        <v>2</v>
      </c>
      <c r="F14" s="328">
        <f>SUM(B14:E14)</f>
        <v>3</v>
      </c>
      <c r="G14" s="225">
        <v>0</v>
      </c>
      <c r="H14" s="285">
        <f t="shared" si="0"/>
        <v>3</v>
      </c>
      <c r="I14" s="227">
        <v>1</v>
      </c>
      <c r="J14" s="227">
        <v>18</v>
      </c>
      <c r="K14" s="227">
        <v>2</v>
      </c>
      <c r="L14" s="227">
        <v>0</v>
      </c>
      <c r="M14" s="397">
        <f>SUM(H14,I14,J14,K14,L14)</f>
        <v>24</v>
      </c>
      <c r="N14" s="227">
        <v>0</v>
      </c>
      <c r="O14" s="397">
        <f>SUM(M14,N14)</f>
        <v>24</v>
      </c>
    </row>
    <row r="15" spans="1:17" ht="14.25" thickBot="1" x14ac:dyDescent="0.3">
      <c r="A15" s="339" t="s">
        <v>43</v>
      </c>
      <c r="B15" s="204">
        <f t="shared" ref="B15:G15" si="5">SUM(B11:B14)</f>
        <v>8</v>
      </c>
      <c r="C15" s="184">
        <f t="shared" si="5"/>
        <v>8</v>
      </c>
      <c r="D15" s="184">
        <f t="shared" si="5"/>
        <v>15</v>
      </c>
      <c r="E15" s="249">
        <f t="shared" si="5"/>
        <v>6</v>
      </c>
      <c r="F15" s="319">
        <f t="shared" si="5"/>
        <v>37</v>
      </c>
      <c r="G15" s="204">
        <f t="shared" si="5"/>
        <v>0</v>
      </c>
      <c r="H15" s="184">
        <f t="shared" si="0"/>
        <v>37</v>
      </c>
      <c r="I15" s="184">
        <f t="shared" ref="I15:O15" si="6">SUM(I11:I14)</f>
        <v>14</v>
      </c>
      <c r="J15" s="184">
        <f t="shared" si="6"/>
        <v>21</v>
      </c>
      <c r="K15" s="184">
        <f t="shared" si="6"/>
        <v>3</v>
      </c>
      <c r="L15" s="184">
        <f t="shared" si="6"/>
        <v>2</v>
      </c>
      <c r="M15" s="319">
        <f t="shared" si="6"/>
        <v>77</v>
      </c>
      <c r="N15" s="184">
        <f t="shared" si="6"/>
        <v>8</v>
      </c>
      <c r="O15" s="319">
        <f t="shared" si="6"/>
        <v>85</v>
      </c>
    </row>
    <row r="16" spans="1:17" x14ac:dyDescent="0.25">
      <c r="A16" s="448" t="s">
        <v>44</v>
      </c>
      <c r="B16" s="214">
        <v>5</v>
      </c>
      <c r="C16" s="216">
        <v>1</v>
      </c>
      <c r="D16" s="216">
        <v>4</v>
      </c>
      <c r="E16" s="421">
        <v>0</v>
      </c>
      <c r="F16" s="328">
        <f>SUM(B16:E16)</f>
        <v>10</v>
      </c>
      <c r="G16" s="214">
        <v>1</v>
      </c>
      <c r="H16" s="282">
        <f t="shared" si="0"/>
        <v>11</v>
      </c>
      <c r="I16" s="216">
        <v>6</v>
      </c>
      <c r="J16" s="216">
        <v>0</v>
      </c>
      <c r="K16" s="216">
        <v>0</v>
      </c>
      <c r="L16" s="216">
        <v>0</v>
      </c>
      <c r="M16" s="398">
        <f>SUM(H16,I16,J16,K16,L16)</f>
        <v>17</v>
      </c>
      <c r="N16" s="216">
        <v>1</v>
      </c>
      <c r="O16" s="398">
        <f>SUM(M16,N16)</f>
        <v>18</v>
      </c>
    </row>
    <row r="17" spans="1:15" x14ac:dyDescent="0.25">
      <c r="A17" s="331" t="s">
        <v>52</v>
      </c>
      <c r="B17" s="197">
        <v>0</v>
      </c>
      <c r="C17" s="150">
        <v>1</v>
      </c>
      <c r="D17" s="150">
        <v>0</v>
      </c>
      <c r="E17" s="332">
        <v>0</v>
      </c>
      <c r="F17" s="328">
        <f>SUM(B17:E17)</f>
        <v>1</v>
      </c>
      <c r="G17" s="197">
        <v>0</v>
      </c>
      <c r="H17" s="282">
        <f t="shared" si="0"/>
        <v>1</v>
      </c>
      <c r="I17" s="150">
        <v>4</v>
      </c>
      <c r="J17" s="150">
        <v>2</v>
      </c>
      <c r="K17" s="150">
        <v>0</v>
      </c>
      <c r="L17" s="150">
        <v>0</v>
      </c>
      <c r="M17" s="335">
        <f>SUM(H17,I17,J17,K17,L17)</f>
        <v>7</v>
      </c>
      <c r="N17" s="150">
        <v>0</v>
      </c>
      <c r="O17" s="335">
        <f>SUM(M17,N17)</f>
        <v>7</v>
      </c>
    </row>
    <row r="18" spans="1:15" ht="14.25" thickBot="1" x14ac:dyDescent="0.3">
      <c r="A18" s="449" t="s">
        <v>45</v>
      </c>
      <c r="B18" s="225">
        <v>1</v>
      </c>
      <c r="C18" s="227">
        <v>2</v>
      </c>
      <c r="D18" s="227">
        <v>2</v>
      </c>
      <c r="E18" s="336">
        <v>1</v>
      </c>
      <c r="F18" s="328">
        <f>SUM(B18:E18)</f>
        <v>6</v>
      </c>
      <c r="G18" s="225">
        <v>0</v>
      </c>
      <c r="H18" s="285">
        <f t="shared" si="0"/>
        <v>6</v>
      </c>
      <c r="I18" s="227">
        <v>13</v>
      </c>
      <c r="J18" s="227">
        <v>1</v>
      </c>
      <c r="K18" s="227">
        <v>0</v>
      </c>
      <c r="L18" s="227">
        <v>0</v>
      </c>
      <c r="M18" s="397">
        <f>SUM(H18,I18,J18,K18,L18)</f>
        <v>20</v>
      </c>
      <c r="N18" s="227">
        <v>1</v>
      </c>
      <c r="O18" s="397">
        <f>SUM(M18,N18)</f>
        <v>21</v>
      </c>
    </row>
    <row r="19" spans="1:15" ht="20.100000000000001" customHeight="1" thickBot="1" x14ac:dyDescent="0.3">
      <c r="A19" s="339" t="s">
        <v>46</v>
      </c>
      <c r="B19" s="204">
        <f t="shared" ref="B19:G19" si="7">SUM(B16:B18)</f>
        <v>6</v>
      </c>
      <c r="C19" s="184">
        <f t="shared" si="7"/>
        <v>4</v>
      </c>
      <c r="D19" s="184">
        <f t="shared" si="7"/>
        <v>6</v>
      </c>
      <c r="E19" s="249">
        <f t="shared" si="7"/>
        <v>1</v>
      </c>
      <c r="F19" s="319">
        <f t="shared" si="7"/>
        <v>17</v>
      </c>
      <c r="G19" s="204">
        <f t="shared" si="7"/>
        <v>1</v>
      </c>
      <c r="H19" s="184">
        <f t="shared" si="0"/>
        <v>18</v>
      </c>
      <c r="I19" s="184">
        <f t="shared" ref="I19:O19" si="8">SUM(I16:I18)</f>
        <v>23</v>
      </c>
      <c r="J19" s="184">
        <f t="shared" si="8"/>
        <v>3</v>
      </c>
      <c r="K19" s="184">
        <f t="shared" si="8"/>
        <v>0</v>
      </c>
      <c r="L19" s="184">
        <f t="shared" si="8"/>
        <v>0</v>
      </c>
      <c r="M19" s="319">
        <f t="shared" si="8"/>
        <v>44</v>
      </c>
      <c r="N19" s="184">
        <f t="shared" si="8"/>
        <v>2</v>
      </c>
      <c r="O19" s="319">
        <f t="shared" si="8"/>
        <v>46</v>
      </c>
    </row>
    <row r="20" spans="1:15" ht="14.25" thickBot="1" x14ac:dyDescent="0.3">
      <c r="A20" s="339" t="s">
        <v>47</v>
      </c>
      <c r="B20" s="184">
        <f t="shared" ref="B20:G20" si="9">SUM(B7,B10,B15,B19)</f>
        <v>14</v>
      </c>
      <c r="C20" s="184">
        <f t="shared" si="9"/>
        <v>12</v>
      </c>
      <c r="D20" s="184">
        <f t="shared" si="9"/>
        <v>21</v>
      </c>
      <c r="E20" s="249">
        <f t="shared" si="9"/>
        <v>7</v>
      </c>
      <c r="F20" s="319">
        <f t="shared" si="9"/>
        <v>54</v>
      </c>
      <c r="G20" s="204">
        <f t="shared" si="9"/>
        <v>1</v>
      </c>
      <c r="H20" s="184">
        <f t="shared" si="0"/>
        <v>55</v>
      </c>
      <c r="I20" s="184">
        <f t="shared" ref="I20:O20" si="10">SUM(I7,I10,I15,I19)</f>
        <v>37</v>
      </c>
      <c r="J20" s="184">
        <f t="shared" si="10"/>
        <v>24</v>
      </c>
      <c r="K20" s="184">
        <f t="shared" si="10"/>
        <v>3</v>
      </c>
      <c r="L20" s="184">
        <f t="shared" si="10"/>
        <v>2</v>
      </c>
      <c r="M20" s="319">
        <f t="shared" si="10"/>
        <v>121</v>
      </c>
      <c r="N20" s="184">
        <f t="shared" si="10"/>
        <v>10</v>
      </c>
      <c r="O20" s="319">
        <f t="shared" si="10"/>
        <v>131</v>
      </c>
    </row>
    <row r="21" spans="1:15" ht="14.25" thickBot="1" x14ac:dyDescent="0.3">
      <c r="H21" s="123"/>
    </row>
    <row r="22" spans="1:15" ht="14.25" thickBot="1" x14ac:dyDescent="0.3">
      <c r="A22" s="314">
        <f>O20</f>
        <v>131</v>
      </c>
      <c r="B22" s="406" t="s">
        <v>116</v>
      </c>
      <c r="C22" s="406"/>
      <c r="D22" s="407"/>
      <c r="E22" s="454">
        <f>'Anlage 1a'!AB41</f>
        <v>662</v>
      </c>
      <c r="F22" s="406" t="s">
        <v>117</v>
      </c>
      <c r="G22" s="407"/>
      <c r="H22" s="409" t="s">
        <v>118</v>
      </c>
      <c r="I22" s="406"/>
      <c r="J22" s="406"/>
      <c r="K22" s="406"/>
      <c r="L22" s="406"/>
      <c r="M22" s="406"/>
      <c r="N22" s="410">
        <f>A22/E22*100</f>
        <v>19.788519637462233</v>
      </c>
      <c r="O22" s="320" t="s">
        <v>50</v>
      </c>
    </row>
    <row r="27" spans="1:15" x14ac:dyDescent="0.25">
      <c r="A27" s="3" t="s">
        <v>53</v>
      </c>
    </row>
  </sheetData>
  <customSheetViews>
    <customSheetView guid="{0224233B-564D-4BBC-A6B2-E639E6D2CFB3}" showPageBreak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view="pageLayout" zoomScaleNormal="100" zoomScaleSheetLayoutView="100" workbookViewId="0">
      <selection activeCell="O18" sqref="O18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133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134</v>
      </c>
      <c r="B5" s="412" t="s">
        <v>102</v>
      </c>
      <c r="C5" s="412" t="s">
        <v>103</v>
      </c>
      <c r="D5" s="412" t="s">
        <v>104</v>
      </c>
      <c r="E5" s="413" t="s">
        <v>105</v>
      </c>
      <c r="F5" s="414" t="s">
        <v>106</v>
      </c>
      <c r="G5" s="415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4.25" thickBot="1" x14ac:dyDescent="0.3">
      <c r="A6" s="446" t="s">
        <v>36</v>
      </c>
      <c r="B6" s="581">
        <v>0</v>
      </c>
      <c r="C6" s="581">
        <v>0</v>
      </c>
      <c r="D6" s="581">
        <v>0</v>
      </c>
      <c r="E6" s="582">
        <v>0</v>
      </c>
      <c r="F6" s="583">
        <f>SUM(B6:E6)</f>
        <v>0</v>
      </c>
      <c r="G6" s="581">
        <v>0</v>
      </c>
      <c r="H6" s="584">
        <f t="shared" ref="H6:H20" si="0">SUM(F6:G6)</f>
        <v>0</v>
      </c>
      <c r="I6" s="585">
        <v>0</v>
      </c>
      <c r="J6" s="585">
        <v>0</v>
      </c>
      <c r="K6" s="585">
        <v>0</v>
      </c>
      <c r="L6" s="585">
        <v>0</v>
      </c>
      <c r="M6" s="586">
        <f>SUM(H6,I6,J6,K6,L6)</f>
        <v>0</v>
      </c>
      <c r="N6" s="585">
        <v>0</v>
      </c>
      <c r="O6" s="586">
        <f>SUM(M6,N6)</f>
        <v>0</v>
      </c>
    </row>
    <row r="7" spans="1:17" ht="16.5" customHeight="1" thickBot="1" x14ac:dyDescent="0.3">
      <c r="A7" s="339" t="s">
        <v>38</v>
      </c>
      <c r="B7" s="587">
        <f t="shared" ref="B7:G7" si="1">SUM(B6:B6)</f>
        <v>0</v>
      </c>
      <c r="C7" s="588">
        <f t="shared" si="1"/>
        <v>0</v>
      </c>
      <c r="D7" s="588">
        <f t="shared" si="1"/>
        <v>0</v>
      </c>
      <c r="E7" s="589">
        <f t="shared" si="1"/>
        <v>0</v>
      </c>
      <c r="F7" s="590">
        <f t="shared" si="1"/>
        <v>0</v>
      </c>
      <c r="G7" s="587">
        <f t="shared" si="1"/>
        <v>0</v>
      </c>
      <c r="H7" s="588">
        <f t="shared" si="0"/>
        <v>0</v>
      </c>
      <c r="I7" s="588">
        <f t="shared" ref="I7:O7" si="2">SUM(I6:I6)</f>
        <v>0</v>
      </c>
      <c r="J7" s="588">
        <f t="shared" si="2"/>
        <v>0</v>
      </c>
      <c r="K7" s="588">
        <f t="shared" si="2"/>
        <v>0</v>
      </c>
      <c r="L7" s="588">
        <f t="shared" si="2"/>
        <v>0</v>
      </c>
      <c r="M7" s="590">
        <f t="shared" si="2"/>
        <v>0</v>
      </c>
      <c r="N7" s="588">
        <f t="shared" si="2"/>
        <v>0</v>
      </c>
      <c r="O7" s="590">
        <f t="shared" si="2"/>
        <v>0</v>
      </c>
    </row>
    <row r="8" spans="1:17" ht="14.25" thickBot="1" x14ac:dyDescent="0.3">
      <c r="A8" s="205" t="s">
        <v>56</v>
      </c>
      <c r="B8" s="591">
        <v>0</v>
      </c>
      <c r="C8" s="591">
        <v>0</v>
      </c>
      <c r="D8" s="591">
        <v>0</v>
      </c>
      <c r="E8" s="592">
        <v>0</v>
      </c>
      <c r="F8" s="583">
        <f>SUM(B8:E8)</f>
        <v>0</v>
      </c>
      <c r="G8" s="591">
        <v>0</v>
      </c>
      <c r="H8" s="584">
        <f t="shared" si="0"/>
        <v>0</v>
      </c>
      <c r="I8" s="593">
        <v>0</v>
      </c>
      <c r="J8" s="593">
        <v>0</v>
      </c>
      <c r="K8" s="593">
        <v>0</v>
      </c>
      <c r="L8" s="593">
        <v>0</v>
      </c>
      <c r="M8" s="594">
        <f>SUM(H8,I8,J8,K8,L8)</f>
        <v>0</v>
      </c>
      <c r="N8" s="593">
        <v>0</v>
      </c>
      <c r="O8" s="594">
        <f>SUM(M8,N8)</f>
        <v>0</v>
      </c>
    </row>
    <row r="9" spans="1:17" ht="14.25" hidden="1" thickBot="1" x14ac:dyDescent="0.3">
      <c r="A9" s="662" t="s">
        <v>177</v>
      </c>
      <c r="B9" s="669"/>
      <c r="C9" s="669"/>
      <c r="D9" s="669"/>
      <c r="E9" s="816"/>
      <c r="F9" s="805"/>
      <c r="G9" s="669"/>
      <c r="H9" s="667"/>
      <c r="I9" s="671"/>
      <c r="J9" s="671"/>
      <c r="K9" s="671"/>
      <c r="L9" s="671"/>
      <c r="M9" s="817"/>
      <c r="N9" s="671"/>
      <c r="O9" s="817"/>
    </row>
    <row r="10" spans="1:17" ht="18" customHeight="1" thickBot="1" x14ac:dyDescent="0.3">
      <c r="A10" s="318" t="s">
        <v>55</v>
      </c>
      <c r="B10" s="587">
        <f t="shared" ref="B10:G10" si="3">SUM(B8:B9)</f>
        <v>0</v>
      </c>
      <c r="C10" s="588">
        <f t="shared" si="3"/>
        <v>0</v>
      </c>
      <c r="D10" s="588">
        <f t="shared" si="3"/>
        <v>0</v>
      </c>
      <c r="E10" s="589">
        <f t="shared" si="3"/>
        <v>0</v>
      </c>
      <c r="F10" s="590">
        <f t="shared" si="3"/>
        <v>0</v>
      </c>
      <c r="G10" s="587">
        <f t="shared" si="3"/>
        <v>0</v>
      </c>
      <c r="H10" s="588">
        <f t="shared" si="0"/>
        <v>0</v>
      </c>
      <c r="I10" s="588">
        <f t="shared" ref="I10:O10" si="4">SUM(I8:I9)</f>
        <v>0</v>
      </c>
      <c r="J10" s="588">
        <f t="shared" si="4"/>
        <v>0</v>
      </c>
      <c r="K10" s="588">
        <f t="shared" si="4"/>
        <v>0</v>
      </c>
      <c r="L10" s="588">
        <f t="shared" si="4"/>
        <v>0</v>
      </c>
      <c r="M10" s="590">
        <f t="shared" si="4"/>
        <v>0</v>
      </c>
      <c r="N10" s="588">
        <f t="shared" si="4"/>
        <v>0</v>
      </c>
      <c r="O10" s="590">
        <f t="shared" si="4"/>
        <v>0</v>
      </c>
    </row>
    <row r="11" spans="1:17" x14ac:dyDescent="0.25">
      <c r="A11" s="448" t="s">
        <v>39</v>
      </c>
      <c r="B11" s="214">
        <v>6</v>
      </c>
      <c r="C11" s="216">
        <v>1</v>
      </c>
      <c r="D11" s="216">
        <v>10</v>
      </c>
      <c r="E11" s="421">
        <v>0</v>
      </c>
      <c r="F11" s="328">
        <f>SUM(B11:E11)</f>
        <v>17</v>
      </c>
      <c r="G11" s="214">
        <v>0</v>
      </c>
      <c r="H11" s="282">
        <f t="shared" si="0"/>
        <v>17</v>
      </c>
      <c r="I11" s="216">
        <v>6</v>
      </c>
      <c r="J11" s="216">
        <v>0</v>
      </c>
      <c r="K11" s="216">
        <v>1</v>
      </c>
      <c r="L11" s="216">
        <v>1</v>
      </c>
      <c r="M11" s="398">
        <f>SUM(H11,I11,J11,K11,L11)</f>
        <v>25</v>
      </c>
      <c r="N11" s="216">
        <v>1</v>
      </c>
      <c r="O11" s="398">
        <f>SUM(M11,N11)</f>
        <v>26</v>
      </c>
    </row>
    <row r="12" spans="1:17" x14ac:dyDescent="0.25">
      <c r="A12" s="331" t="s">
        <v>40</v>
      </c>
      <c r="B12" s="197">
        <v>7</v>
      </c>
      <c r="C12" s="150">
        <v>4</v>
      </c>
      <c r="D12" s="150">
        <v>1</v>
      </c>
      <c r="E12" s="332">
        <v>0</v>
      </c>
      <c r="F12" s="328">
        <f>SUM(B12:E12)</f>
        <v>12</v>
      </c>
      <c r="G12" s="197">
        <v>0</v>
      </c>
      <c r="H12" s="161">
        <f t="shared" si="0"/>
        <v>12</v>
      </c>
      <c r="I12" s="150">
        <v>8</v>
      </c>
      <c r="J12" s="150">
        <v>1</v>
      </c>
      <c r="K12" s="150">
        <v>1</v>
      </c>
      <c r="L12" s="150">
        <v>1</v>
      </c>
      <c r="M12" s="335">
        <f>SUM(H12,I12,J12,K12,L12)</f>
        <v>23</v>
      </c>
      <c r="N12" s="150">
        <v>6</v>
      </c>
      <c r="O12" s="335">
        <f>SUM(M12,N12)</f>
        <v>29</v>
      </c>
    </row>
    <row r="13" spans="1:17" x14ac:dyDescent="0.25">
      <c r="A13" s="331" t="s">
        <v>41</v>
      </c>
      <c r="B13" s="197">
        <v>1</v>
      </c>
      <c r="C13" s="150">
        <v>0</v>
      </c>
      <c r="D13" s="150">
        <v>5</v>
      </c>
      <c r="E13" s="332">
        <v>0</v>
      </c>
      <c r="F13" s="328">
        <f>SUM(B13:E13)</f>
        <v>6</v>
      </c>
      <c r="G13" s="197">
        <v>0</v>
      </c>
      <c r="H13" s="161">
        <f t="shared" si="0"/>
        <v>6</v>
      </c>
      <c r="I13" s="150">
        <v>2</v>
      </c>
      <c r="J13" s="150">
        <v>0</v>
      </c>
      <c r="K13" s="150">
        <v>0</v>
      </c>
      <c r="L13" s="150">
        <v>1</v>
      </c>
      <c r="M13" s="335">
        <f>SUM(H13,I13,J13,K13,L13)</f>
        <v>9</v>
      </c>
      <c r="N13" s="150">
        <v>0</v>
      </c>
      <c r="O13" s="335">
        <f>SUM(M13,N13)</f>
        <v>9</v>
      </c>
    </row>
    <row r="14" spans="1:17" ht="14.25" thickBot="1" x14ac:dyDescent="0.3">
      <c r="A14" s="449" t="s">
        <v>42</v>
      </c>
      <c r="B14" s="225">
        <v>0</v>
      </c>
      <c r="C14" s="227">
        <v>3</v>
      </c>
      <c r="D14" s="227">
        <v>0</v>
      </c>
      <c r="E14" s="336">
        <v>0</v>
      </c>
      <c r="F14" s="328">
        <f>SUM(B14:E14)</f>
        <v>3</v>
      </c>
      <c r="G14" s="225">
        <v>0</v>
      </c>
      <c r="H14" s="285">
        <f t="shared" si="0"/>
        <v>3</v>
      </c>
      <c r="I14" s="227">
        <v>1</v>
      </c>
      <c r="J14" s="227">
        <v>6</v>
      </c>
      <c r="K14" s="227">
        <v>10</v>
      </c>
      <c r="L14" s="227">
        <v>0</v>
      </c>
      <c r="M14" s="397">
        <f>SUM(H14,I14,J14,K14,L14)</f>
        <v>20</v>
      </c>
      <c r="N14" s="227">
        <v>1</v>
      </c>
      <c r="O14" s="397">
        <f>SUM(M14,N14)</f>
        <v>21</v>
      </c>
    </row>
    <row r="15" spans="1:17" ht="18.75" customHeight="1" thickBot="1" x14ac:dyDescent="0.3">
      <c r="A15" s="339" t="s">
        <v>43</v>
      </c>
      <c r="B15" s="204">
        <f t="shared" ref="B15:G15" si="5">SUM(B11:B14)</f>
        <v>14</v>
      </c>
      <c r="C15" s="184">
        <f t="shared" si="5"/>
        <v>8</v>
      </c>
      <c r="D15" s="184">
        <f t="shared" si="5"/>
        <v>16</v>
      </c>
      <c r="E15" s="249">
        <f t="shared" si="5"/>
        <v>0</v>
      </c>
      <c r="F15" s="319">
        <f t="shared" si="5"/>
        <v>38</v>
      </c>
      <c r="G15" s="204">
        <f t="shared" si="5"/>
        <v>0</v>
      </c>
      <c r="H15" s="184">
        <f t="shared" si="0"/>
        <v>38</v>
      </c>
      <c r="I15" s="184">
        <f t="shared" ref="I15:O15" si="6">SUM(I11:I14)</f>
        <v>17</v>
      </c>
      <c r="J15" s="184">
        <f t="shared" si="6"/>
        <v>7</v>
      </c>
      <c r="K15" s="184">
        <f t="shared" si="6"/>
        <v>12</v>
      </c>
      <c r="L15" s="184">
        <f t="shared" si="6"/>
        <v>3</v>
      </c>
      <c r="M15" s="319">
        <f t="shared" si="6"/>
        <v>77</v>
      </c>
      <c r="N15" s="184">
        <f t="shared" si="6"/>
        <v>8</v>
      </c>
      <c r="O15" s="319">
        <f t="shared" si="6"/>
        <v>85</v>
      </c>
    </row>
    <row r="16" spans="1:17" x14ac:dyDescent="0.25">
      <c r="A16" s="448" t="s">
        <v>44</v>
      </c>
      <c r="B16" s="214">
        <v>2</v>
      </c>
      <c r="C16" s="216">
        <v>0</v>
      </c>
      <c r="D16" s="216">
        <v>3</v>
      </c>
      <c r="E16" s="421">
        <v>0</v>
      </c>
      <c r="F16" s="328">
        <f>SUM(B16:E16)</f>
        <v>5</v>
      </c>
      <c r="G16" s="214">
        <v>1</v>
      </c>
      <c r="H16" s="282">
        <f t="shared" si="0"/>
        <v>6</v>
      </c>
      <c r="I16" s="216">
        <v>1</v>
      </c>
      <c r="J16" s="216">
        <v>1</v>
      </c>
      <c r="K16" s="216">
        <v>1</v>
      </c>
      <c r="L16" s="216">
        <v>0</v>
      </c>
      <c r="M16" s="398">
        <f>SUM(H16,I16,J16,K16,L16)</f>
        <v>9</v>
      </c>
      <c r="N16" s="216">
        <v>1</v>
      </c>
      <c r="O16" s="398">
        <f>SUM(M16,N16)</f>
        <v>10</v>
      </c>
    </row>
    <row r="17" spans="1:15" x14ac:dyDescent="0.25">
      <c r="A17" s="331" t="s">
        <v>52</v>
      </c>
      <c r="B17" s="197">
        <v>0</v>
      </c>
      <c r="C17" s="150">
        <v>0</v>
      </c>
      <c r="D17" s="150">
        <v>0</v>
      </c>
      <c r="E17" s="332">
        <v>0</v>
      </c>
      <c r="F17" s="328">
        <f>SUM(B17:E17)</f>
        <v>0</v>
      </c>
      <c r="G17" s="197">
        <v>0</v>
      </c>
      <c r="H17" s="161">
        <f t="shared" si="0"/>
        <v>0</v>
      </c>
      <c r="I17" s="150">
        <v>3</v>
      </c>
      <c r="J17" s="150">
        <v>1</v>
      </c>
      <c r="K17" s="150">
        <v>0</v>
      </c>
      <c r="L17" s="150">
        <v>0</v>
      </c>
      <c r="M17" s="335">
        <f>SUM(H17,I17,J17,K17,L17)</f>
        <v>4</v>
      </c>
      <c r="N17" s="150">
        <v>0</v>
      </c>
      <c r="O17" s="335">
        <f>SUM(M17,N17)</f>
        <v>4</v>
      </c>
    </row>
    <row r="18" spans="1:15" ht="14.25" thickBot="1" x14ac:dyDescent="0.3">
      <c r="A18" s="449" t="s">
        <v>45</v>
      </c>
      <c r="B18" s="225">
        <v>3</v>
      </c>
      <c r="C18" s="227">
        <v>1</v>
      </c>
      <c r="D18" s="227">
        <v>0</v>
      </c>
      <c r="E18" s="336">
        <v>1</v>
      </c>
      <c r="F18" s="328">
        <f>SUM(B18:E18)</f>
        <v>5</v>
      </c>
      <c r="G18" s="225">
        <v>0</v>
      </c>
      <c r="H18" s="285">
        <f t="shared" si="0"/>
        <v>5</v>
      </c>
      <c r="I18" s="227">
        <v>15</v>
      </c>
      <c r="J18" s="227">
        <v>0</v>
      </c>
      <c r="K18" s="227">
        <v>2</v>
      </c>
      <c r="L18" s="227">
        <v>0</v>
      </c>
      <c r="M18" s="397">
        <f>SUM(H18,I18,J18,K18,L18)</f>
        <v>22</v>
      </c>
      <c r="N18" s="227">
        <v>2</v>
      </c>
      <c r="O18" s="397">
        <f>SUM(M18,N18)</f>
        <v>24</v>
      </c>
    </row>
    <row r="19" spans="1:15" ht="20.100000000000001" customHeight="1" thickBot="1" x14ac:dyDescent="0.3">
      <c r="A19" s="339" t="s">
        <v>46</v>
      </c>
      <c r="B19" s="204">
        <f t="shared" ref="B19:G19" si="7">SUM(B16:B18)</f>
        <v>5</v>
      </c>
      <c r="C19" s="184">
        <f t="shared" si="7"/>
        <v>1</v>
      </c>
      <c r="D19" s="184">
        <f t="shared" si="7"/>
        <v>3</v>
      </c>
      <c r="E19" s="249">
        <f t="shared" si="7"/>
        <v>1</v>
      </c>
      <c r="F19" s="319">
        <f t="shared" si="7"/>
        <v>10</v>
      </c>
      <c r="G19" s="204">
        <f t="shared" si="7"/>
        <v>1</v>
      </c>
      <c r="H19" s="184">
        <f t="shared" si="0"/>
        <v>11</v>
      </c>
      <c r="I19" s="184">
        <f t="shared" ref="I19:O19" si="8">SUM(I16:I18)</f>
        <v>19</v>
      </c>
      <c r="J19" s="184">
        <f t="shared" si="8"/>
        <v>2</v>
      </c>
      <c r="K19" s="184">
        <f t="shared" si="8"/>
        <v>3</v>
      </c>
      <c r="L19" s="184">
        <f t="shared" si="8"/>
        <v>0</v>
      </c>
      <c r="M19" s="319">
        <f t="shared" si="8"/>
        <v>35</v>
      </c>
      <c r="N19" s="184">
        <f t="shared" si="8"/>
        <v>3</v>
      </c>
      <c r="O19" s="319">
        <f t="shared" si="8"/>
        <v>38</v>
      </c>
    </row>
    <row r="20" spans="1:15" ht="15.75" customHeight="1" thickBot="1" x14ac:dyDescent="0.3">
      <c r="A20" s="339" t="s">
        <v>47</v>
      </c>
      <c r="B20" s="184">
        <f t="shared" ref="B20:G20" si="9">SUM(B7,B10,B15,B19)</f>
        <v>19</v>
      </c>
      <c r="C20" s="184">
        <f t="shared" si="9"/>
        <v>9</v>
      </c>
      <c r="D20" s="184">
        <f t="shared" si="9"/>
        <v>19</v>
      </c>
      <c r="E20" s="249">
        <f t="shared" si="9"/>
        <v>1</v>
      </c>
      <c r="F20" s="319">
        <f t="shared" si="9"/>
        <v>48</v>
      </c>
      <c r="G20" s="204">
        <f t="shared" si="9"/>
        <v>1</v>
      </c>
      <c r="H20" s="184">
        <f t="shared" si="0"/>
        <v>49</v>
      </c>
      <c r="I20" s="184">
        <f t="shared" ref="I20:O20" si="10">SUM(I7,I10,I15,I19)</f>
        <v>36</v>
      </c>
      <c r="J20" s="184">
        <f t="shared" si="10"/>
        <v>9</v>
      </c>
      <c r="K20" s="184">
        <f t="shared" si="10"/>
        <v>15</v>
      </c>
      <c r="L20" s="184">
        <f t="shared" si="10"/>
        <v>3</v>
      </c>
      <c r="M20" s="319">
        <f t="shared" si="10"/>
        <v>112</v>
      </c>
      <c r="N20" s="184">
        <f t="shared" si="10"/>
        <v>11</v>
      </c>
      <c r="O20" s="319">
        <f t="shared" si="10"/>
        <v>123</v>
      </c>
    </row>
    <row r="21" spans="1:15" ht="14.25" thickBot="1" x14ac:dyDescent="0.3">
      <c r="H21" s="123"/>
    </row>
    <row r="22" spans="1:15" ht="14.25" thickBot="1" x14ac:dyDescent="0.3">
      <c r="A22" s="187">
        <f>O20</f>
        <v>123</v>
      </c>
      <c r="B22" s="442" t="s">
        <v>116</v>
      </c>
      <c r="C22" s="442"/>
      <c r="D22" s="443"/>
      <c r="E22" s="454">
        <f>'Anlage 1a'!AD41</f>
        <v>632</v>
      </c>
      <c r="F22" s="406" t="s">
        <v>117</v>
      </c>
      <c r="G22" s="407"/>
      <c r="H22" s="444" t="s">
        <v>118</v>
      </c>
      <c r="I22" s="442"/>
      <c r="J22" s="442"/>
      <c r="K22" s="442"/>
      <c r="L22" s="442"/>
      <c r="M22" s="443"/>
      <c r="N22" s="464">
        <f>A22/E22*100</f>
        <v>19.462025316455698</v>
      </c>
      <c r="O22" s="250" t="s">
        <v>50</v>
      </c>
    </row>
    <row r="29" spans="1:15" ht="14.25" thickBot="1" x14ac:dyDescent="0.3"/>
    <row r="30" spans="1:15" ht="14.25" thickBot="1" x14ac:dyDescent="0.3">
      <c r="G30" s="465"/>
    </row>
  </sheetData>
  <customSheetViews>
    <customSheetView guid="{0224233B-564D-4BBC-A6B2-E639E6D2CFB3}" showPageBreaks="1" printArea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9"/>
  <sheetViews>
    <sheetView view="pageLayout" zoomScale="70" zoomScaleNormal="100" zoomScaleSheetLayoutView="75" zoomScalePageLayoutView="70" workbookViewId="0">
      <selection activeCell="K21" sqref="K21"/>
    </sheetView>
  </sheetViews>
  <sheetFormatPr baseColWidth="10" defaultRowHeight="13.5" x14ac:dyDescent="0.25"/>
  <cols>
    <col min="1" max="1" width="25.42578125" style="3" customWidth="1"/>
    <col min="2" max="3" width="3.28515625" style="3" hidden="1" customWidth="1"/>
    <col min="4" max="4" width="5.140625" style="3" customWidth="1"/>
    <col min="5" max="5" width="5.85546875" style="131" customWidth="1"/>
    <col min="6" max="6" width="5.140625" style="3" customWidth="1"/>
    <col min="7" max="7" width="5.85546875" style="131" customWidth="1"/>
    <col min="8" max="8" width="5.140625" style="3" customWidth="1"/>
    <col min="9" max="9" width="7.42578125" style="131" bestFit="1" customWidth="1"/>
    <col min="10" max="10" width="5.140625" style="3" customWidth="1"/>
    <col min="11" max="11" width="7.42578125" style="131" bestFit="1" customWidth="1"/>
    <col min="12" max="12" width="6.28515625" style="3" bestFit="1" customWidth="1"/>
    <col min="13" max="13" width="5.140625" style="131" customWidth="1"/>
    <col min="14" max="14" width="5.140625" style="3" customWidth="1"/>
    <col min="15" max="15" width="6.7109375" style="131" customWidth="1"/>
    <col min="16" max="16" width="5.140625" style="3" customWidth="1"/>
    <col min="17" max="17" width="6.7109375" style="131" customWidth="1"/>
    <col min="18" max="18" width="5.140625" style="3" customWidth="1"/>
    <col min="19" max="19" width="5.85546875" style="131" customWidth="1"/>
    <col min="20" max="20" width="5.140625" style="3" customWidth="1"/>
    <col min="21" max="21" width="5.85546875" style="131" customWidth="1"/>
    <col min="22" max="22" width="5.140625" style="3" customWidth="1"/>
    <col min="23" max="23" width="5.85546875" style="131" customWidth="1"/>
    <col min="24" max="24" width="5.140625" style="3" customWidth="1"/>
    <col min="25" max="25" width="6.28515625" style="131" customWidth="1"/>
    <col min="26" max="26" width="6.28515625" style="3" customWidth="1"/>
    <col min="27" max="27" width="5.85546875" style="131" customWidth="1"/>
    <col min="28" max="28" width="4.140625" style="3" customWidth="1"/>
    <col min="29" max="29" width="5.85546875" style="131" customWidth="1"/>
    <col min="30" max="30" width="4.140625" style="3" customWidth="1"/>
    <col min="31" max="31" width="5.85546875" style="131" customWidth="1"/>
    <col min="32" max="32" width="4.140625" style="3" customWidth="1"/>
    <col min="33" max="33" width="5.85546875" style="131" customWidth="1"/>
    <col min="34" max="34" width="5.140625" style="3" customWidth="1"/>
    <col min="35" max="35" width="5.85546875" style="131" customWidth="1"/>
    <col min="36" max="36" width="6.42578125" style="3" customWidth="1"/>
    <col min="37" max="37" width="5.85546875" style="131" customWidth="1"/>
    <col min="38" max="16384" width="11.42578125" style="3"/>
  </cols>
  <sheetData>
    <row r="1" spans="1:46" s="130" customFormat="1" ht="21" x14ac:dyDescent="0.35">
      <c r="A1" s="948" t="s">
        <v>323</v>
      </c>
      <c r="B1" s="948"/>
      <c r="C1" s="948"/>
      <c r="D1" s="948"/>
      <c r="E1" s="948"/>
      <c r="F1" s="948"/>
      <c r="G1" s="948"/>
      <c r="H1" s="948"/>
      <c r="I1" s="948"/>
      <c r="J1" s="948"/>
      <c r="K1" s="948"/>
      <c r="L1" s="948"/>
      <c r="M1" s="948"/>
      <c r="N1" s="948"/>
      <c r="O1" s="948"/>
      <c r="P1" s="948"/>
      <c r="Q1" s="948"/>
      <c r="R1" s="948"/>
      <c r="S1" s="948"/>
      <c r="T1" s="948"/>
      <c r="U1" s="948"/>
      <c r="V1" s="948"/>
      <c r="W1" s="948"/>
      <c r="X1" s="948"/>
      <c r="Y1" s="948"/>
      <c r="Z1" s="948"/>
      <c r="AA1" s="948"/>
      <c r="AB1" s="948"/>
      <c r="AC1" s="948"/>
      <c r="AD1" s="948"/>
      <c r="AE1" s="948"/>
      <c r="AF1" s="948"/>
      <c r="AG1" s="948"/>
      <c r="AH1" s="948"/>
      <c r="AI1" s="948"/>
      <c r="AJ1" s="948"/>
      <c r="AK1" s="948"/>
    </row>
    <row r="2" spans="1:46" ht="14.25" thickBot="1" x14ac:dyDescent="0.3"/>
    <row r="3" spans="1:46" ht="25.5" customHeight="1" x14ac:dyDescent="0.25">
      <c r="A3" s="132"/>
      <c r="B3" s="946"/>
      <c r="C3" s="947"/>
      <c r="D3" s="133" t="s">
        <v>5</v>
      </c>
      <c r="E3" s="134"/>
      <c r="F3" s="135" t="s">
        <v>6</v>
      </c>
      <c r="G3" s="134"/>
      <c r="H3" s="135" t="s">
        <v>7</v>
      </c>
      <c r="I3" s="134"/>
      <c r="J3" s="135" t="s">
        <v>8</v>
      </c>
      <c r="K3" s="134"/>
      <c r="L3" s="136" t="s">
        <v>9</v>
      </c>
      <c r="M3" s="137"/>
      <c r="N3" s="135" t="s">
        <v>10</v>
      </c>
      <c r="O3" s="134"/>
      <c r="P3" s="135" t="s">
        <v>11</v>
      </c>
      <c r="Q3" s="134"/>
      <c r="R3" s="135" t="s">
        <v>12</v>
      </c>
      <c r="S3" s="134"/>
      <c r="T3" s="135" t="s">
        <v>13</v>
      </c>
      <c r="U3" s="134"/>
      <c r="V3" s="135" t="s">
        <v>14</v>
      </c>
      <c r="W3" s="134"/>
      <c r="X3" s="135" t="s">
        <v>15</v>
      </c>
      <c r="Y3" s="134"/>
      <c r="Z3" s="136" t="s">
        <v>60</v>
      </c>
      <c r="AA3" s="137"/>
      <c r="AB3" s="135" t="s">
        <v>16</v>
      </c>
      <c r="AC3" s="134"/>
      <c r="AD3" s="135" t="s">
        <v>17</v>
      </c>
      <c r="AE3" s="138"/>
      <c r="AF3" s="135" t="s">
        <v>18</v>
      </c>
      <c r="AG3" s="134"/>
      <c r="AH3" s="136" t="s">
        <v>61</v>
      </c>
      <c r="AI3" s="137"/>
      <c r="AJ3" s="139" t="s">
        <v>19</v>
      </c>
      <c r="AK3" s="137"/>
      <c r="AL3" s="140"/>
      <c r="AM3" s="140"/>
      <c r="AN3" s="140"/>
      <c r="AO3" s="140"/>
      <c r="AP3" s="140"/>
      <c r="AQ3" s="140"/>
      <c r="AR3" s="140"/>
      <c r="AS3" s="140"/>
      <c r="AT3" s="140"/>
    </row>
    <row r="4" spans="1:46" ht="20.100000000000001" customHeight="1" thickBot="1" x14ac:dyDescent="0.3">
      <c r="A4" s="141"/>
      <c r="B4" s="142"/>
      <c r="C4" s="143"/>
      <c r="D4" s="144" t="s">
        <v>49</v>
      </c>
      <c r="E4" s="145" t="s">
        <v>50</v>
      </c>
      <c r="F4" s="146" t="s">
        <v>49</v>
      </c>
      <c r="G4" s="145" t="s">
        <v>50</v>
      </c>
      <c r="H4" s="146" t="s">
        <v>49</v>
      </c>
      <c r="I4" s="145" t="s">
        <v>50</v>
      </c>
      <c r="J4" s="146" t="s">
        <v>49</v>
      </c>
      <c r="K4" s="145" t="s">
        <v>50</v>
      </c>
      <c r="L4" s="142" t="s">
        <v>49</v>
      </c>
      <c r="M4" s="143" t="s">
        <v>50</v>
      </c>
      <c r="N4" s="146" t="s">
        <v>49</v>
      </c>
      <c r="O4" s="145" t="s">
        <v>50</v>
      </c>
      <c r="P4" s="146" t="s">
        <v>49</v>
      </c>
      <c r="Q4" s="145" t="s">
        <v>50</v>
      </c>
      <c r="R4" s="146" t="s">
        <v>49</v>
      </c>
      <c r="S4" s="145" t="s">
        <v>50</v>
      </c>
      <c r="T4" s="146" t="s">
        <v>49</v>
      </c>
      <c r="U4" s="145" t="s">
        <v>50</v>
      </c>
      <c r="V4" s="146" t="s">
        <v>49</v>
      </c>
      <c r="W4" s="145" t="s">
        <v>50</v>
      </c>
      <c r="X4" s="146" t="s">
        <v>49</v>
      </c>
      <c r="Y4" s="145" t="s">
        <v>50</v>
      </c>
      <c r="Z4" s="142" t="s">
        <v>49</v>
      </c>
      <c r="AA4" s="143" t="s">
        <v>50</v>
      </c>
      <c r="AB4" s="146" t="s">
        <v>49</v>
      </c>
      <c r="AC4" s="145" t="s">
        <v>50</v>
      </c>
      <c r="AD4" s="146" t="s">
        <v>49</v>
      </c>
      <c r="AE4" s="145" t="s">
        <v>50</v>
      </c>
      <c r="AF4" s="146" t="s">
        <v>49</v>
      </c>
      <c r="AG4" s="145" t="s">
        <v>50</v>
      </c>
      <c r="AH4" s="142" t="s">
        <v>49</v>
      </c>
      <c r="AI4" s="143" t="s">
        <v>50</v>
      </c>
      <c r="AJ4" s="146" t="s">
        <v>49</v>
      </c>
      <c r="AK4" s="143" t="s">
        <v>50</v>
      </c>
    </row>
    <row r="5" spans="1:46" x14ac:dyDescent="0.25">
      <c r="A5" s="147" t="s">
        <v>22</v>
      </c>
      <c r="B5" s="148"/>
      <c r="C5" s="149"/>
      <c r="D5" s="150">
        <v>8</v>
      </c>
      <c r="E5" s="151">
        <f>D5/'Anlage 1a'!D5*100</f>
        <v>14.814814814814813</v>
      </c>
      <c r="F5" s="150">
        <v>14</v>
      </c>
      <c r="G5" s="151">
        <f>F5/'Anlage 1a'!F5*100</f>
        <v>24.137931034482758</v>
      </c>
      <c r="H5" s="150">
        <v>9</v>
      </c>
      <c r="I5" s="151">
        <f>H5/'Anlage 1a'!H5*100</f>
        <v>17.307692307692307</v>
      </c>
      <c r="J5" s="150">
        <v>15</v>
      </c>
      <c r="K5" s="151">
        <f>J5/'Anlage 1a'!J5*100</f>
        <v>22.727272727272727</v>
      </c>
      <c r="L5" s="152">
        <f>SUM(D5,F5,H5,J5)</f>
        <v>46</v>
      </c>
      <c r="M5" s="153">
        <f>L5/'Anlage 1a'!L5*100</f>
        <v>20</v>
      </c>
      <c r="N5" s="150"/>
      <c r="O5" s="154"/>
      <c r="P5" s="150"/>
      <c r="Q5" s="154"/>
      <c r="R5" s="150"/>
      <c r="S5" s="154"/>
      <c r="T5" s="150"/>
      <c r="U5" s="154"/>
      <c r="V5" s="150"/>
      <c r="W5" s="154"/>
      <c r="X5" s="150"/>
      <c r="Y5" s="154"/>
      <c r="Z5" s="155"/>
      <c r="AA5" s="156"/>
      <c r="AB5" s="150"/>
      <c r="AC5" s="154"/>
      <c r="AD5" s="150"/>
      <c r="AE5" s="154"/>
      <c r="AF5" s="150"/>
      <c r="AG5" s="154"/>
      <c r="AH5" s="155"/>
      <c r="AI5" s="156"/>
      <c r="AJ5" s="157">
        <f>SUM(L5,Z5,AH5)</f>
        <v>46</v>
      </c>
      <c r="AK5" s="153">
        <f>AJ5/'Anlage 1a'!AJ5*100</f>
        <v>20</v>
      </c>
    </row>
    <row r="6" spans="1:46" x14ac:dyDescent="0.25">
      <c r="A6" s="147" t="s">
        <v>23</v>
      </c>
      <c r="B6" s="148"/>
      <c r="C6" s="149"/>
      <c r="D6" s="150">
        <v>2</v>
      </c>
      <c r="E6" s="151">
        <f>D6/'Anlage 1a'!D6*100</f>
        <v>4.3478260869565215</v>
      </c>
      <c r="F6" s="150">
        <v>8</v>
      </c>
      <c r="G6" s="151">
        <f>F6/'Anlage 1a'!F6*100</f>
        <v>13.559322033898304</v>
      </c>
      <c r="H6" s="150">
        <v>3</v>
      </c>
      <c r="I6" s="151">
        <f>H6/'Anlage 1a'!H6*100</f>
        <v>5.5555555555555554</v>
      </c>
      <c r="J6" s="150">
        <v>3</v>
      </c>
      <c r="K6" s="151">
        <f>J6/'Anlage 1a'!J6*100</f>
        <v>5.3571428571428568</v>
      </c>
      <c r="L6" s="152">
        <f t="shared" ref="L6:L20" si="0">SUM(D6,F6,H6,J6)</f>
        <v>16</v>
      </c>
      <c r="M6" s="153">
        <f>L6/'Anlage 1a'!L6*100</f>
        <v>7.441860465116279</v>
      </c>
      <c r="N6" s="150"/>
      <c r="O6" s="154"/>
      <c r="P6" s="150"/>
      <c r="Q6" s="154"/>
      <c r="R6" s="150"/>
      <c r="S6" s="154"/>
      <c r="T6" s="150"/>
      <c r="U6" s="154"/>
      <c r="V6" s="150"/>
      <c r="W6" s="154"/>
      <c r="X6" s="150"/>
      <c r="Y6" s="154"/>
      <c r="Z6" s="155"/>
      <c r="AA6" s="156"/>
      <c r="AB6" s="150"/>
      <c r="AC6" s="154"/>
      <c r="AD6" s="150"/>
      <c r="AE6" s="154"/>
      <c r="AF6" s="150"/>
      <c r="AG6" s="154"/>
      <c r="AH6" s="155"/>
      <c r="AI6" s="156"/>
      <c r="AJ6" s="157">
        <f t="shared" ref="AJ6:AJ24" si="1">SUM(L6,Z6,AH6)</f>
        <v>16</v>
      </c>
      <c r="AK6" s="153">
        <f>AJ6/'Anlage 1a'!AJ6*100</f>
        <v>7.441860465116279</v>
      </c>
    </row>
    <row r="7" spans="1:46" x14ac:dyDescent="0.25">
      <c r="A7" s="147" t="s">
        <v>24</v>
      </c>
      <c r="B7" s="148"/>
      <c r="C7" s="149"/>
      <c r="D7" s="150">
        <v>12</v>
      </c>
      <c r="E7" s="151">
        <f>D7/'Anlage 1a'!D7*100</f>
        <v>21.818181818181817</v>
      </c>
      <c r="F7" s="150">
        <v>15</v>
      </c>
      <c r="G7" s="151">
        <f>F7/'Anlage 1a'!F7*100</f>
        <v>25.862068965517242</v>
      </c>
      <c r="H7" s="150">
        <v>14</v>
      </c>
      <c r="I7" s="151">
        <f>H7/'Anlage 1a'!H7*100</f>
        <v>32.558139534883722</v>
      </c>
      <c r="J7" s="150">
        <v>14</v>
      </c>
      <c r="K7" s="151">
        <f>J7/'Anlage 1a'!J7*100</f>
        <v>22.58064516129032</v>
      </c>
      <c r="L7" s="152">
        <f t="shared" si="0"/>
        <v>55</v>
      </c>
      <c r="M7" s="153">
        <f>L7/'Anlage 1a'!L7*100</f>
        <v>25.229357798165136</v>
      </c>
      <c r="N7" s="150"/>
      <c r="O7" s="154"/>
      <c r="P7" s="150"/>
      <c r="Q7" s="154"/>
      <c r="R7" s="150"/>
      <c r="S7" s="154"/>
      <c r="T7" s="150"/>
      <c r="U7" s="154"/>
      <c r="V7" s="150"/>
      <c r="W7" s="154"/>
      <c r="X7" s="150"/>
      <c r="Y7" s="154"/>
      <c r="Z7" s="155"/>
      <c r="AA7" s="156"/>
      <c r="AB7" s="150"/>
      <c r="AC7" s="154"/>
      <c r="AD7" s="150"/>
      <c r="AE7" s="154"/>
      <c r="AF7" s="150"/>
      <c r="AG7" s="154"/>
      <c r="AH7" s="155"/>
      <c r="AI7" s="156"/>
      <c r="AJ7" s="157">
        <f t="shared" si="1"/>
        <v>55</v>
      </c>
      <c r="AK7" s="153">
        <f>AJ7/'Anlage 1a'!AJ7*100</f>
        <v>25.229357798165136</v>
      </c>
    </row>
    <row r="8" spans="1:46" s="123" customFormat="1" x14ac:dyDescent="0.25">
      <c r="A8" s="147" t="s">
        <v>291</v>
      </c>
      <c r="B8" s="148"/>
      <c r="C8" s="149"/>
      <c r="D8" s="150">
        <v>19</v>
      </c>
      <c r="E8" s="151">
        <f>D8/'Anlage 1a'!D8*100</f>
        <v>55.882352941176471</v>
      </c>
      <c r="F8" s="150">
        <v>15</v>
      </c>
      <c r="G8" s="151">
        <f>F8/'Anlage 1a'!F8*100</f>
        <v>51.724137931034484</v>
      </c>
      <c r="H8" s="150">
        <v>11</v>
      </c>
      <c r="I8" s="151">
        <f>H8/'Anlage 1a'!H8*100</f>
        <v>23.404255319148938</v>
      </c>
      <c r="J8" s="150">
        <v>18</v>
      </c>
      <c r="K8" s="151">
        <f>J8/'Anlage 1a'!J8*100</f>
        <v>37.5</v>
      </c>
      <c r="L8" s="152">
        <f t="shared" si="0"/>
        <v>63</v>
      </c>
      <c r="M8" s="153">
        <f>L8/'Anlage 1a'!L8*100</f>
        <v>39.87341772151899</v>
      </c>
      <c r="N8" s="150"/>
      <c r="O8" s="154"/>
      <c r="P8" s="150"/>
      <c r="Q8" s="154"/>
      <c r="R8" s="150"/>
      <c r="S8" s="154"/>
      <c r="T8" s="150"/>
      <c r="U8" s="154"/>
      <c r="V8" s="150"/>
      <c r="W8" s="154"/>
      <c r="X8" s="150"/>
      <c r="Y8" s="154"/>
      <c r="Z8" s="155"/>
      <c r="AA8" s="156"/>
      <c r="AB8" s="150"/>
      <c r="AC8" s="154"/>
      <c r="AD8" s="150"/>
      <c r="AE8" s="154"/>
      <c r="AF8" s="150"/>
      <c r="AG8" s="154"/>
      <c r="AH8" s="155"/>
      <c r="AI8" s="156"/>
      <c r="AJ8" s="157">
        <f t="shared" si="1"/>
        <v>63</v>
      </c>
      <c r="AK8" s="153">
        <f>AJ8/'Anlage 1a'!AJ8*100</f>
        <v>39.87341772151899</v>
      </c>
    </row>
    <row r="9" spans="1:46" s="123" customFormat="1" ht="20.100000000000001" customHeight="1" x14ac:dyDescent="0.25">
      <c r="A9" s="158" t="s">
        <v>25</v>
      </c>
      <c r="B9" s="159"/>
      <c r="C9" s="160"/>
      <c r="D9" s="161">
        <f>SUM(D5,D6,D7,D8)</f>
        <v>41</v>
      </c>
      <c r="E9" s="162">
        <f>D9/'Anlage 1a'!D9*100</f>
        <v>21.693121693121693</v>
      </c>
      <c r="F9" s="161">
        <f>SUM(F5,F6,F7,F8)</f>
        <v>52</v>
      </c>
      <c r="G9" s="162">
        <f>F9/'Anlage 1a'!F9*100</f>
        <v>25.490196078431371</v>
      </c>
      <c r="H9" s="161">
        <f>SUM(H5,H6,H7,H8)</f>
        <v>37</v>
      </c>
      <c r="I9" s="162">
        <f>H9/'Anlage 1a'!H9*100</f>
        <v>18.877551020408163</v>
      </c>
      <c r="J9" s="161">
        <f>SUM(J5,J6,J7,J8)</f>
        <v>50</v>
      </c>
      <c r="K9" s="162">
        <f>J9/'Anlage 1a'!J9*100</f>
        <v>21.551724137931032</v>
      </c>
      <c r="L9" s="163">
        <f>SUM(L5,L6,L7,L8)</f>
        <v>180</v>
      </c>
      <c r="M9" s="164">
        <f>L9/'Anlage 1a'!L9*100</f>
        <v>21.924482338611451</v>
      </c>
      <c r="N9" s="165"/>
      <c r="O9" s="166"/>
      <c r="P9" s="165"/>
      <c r="Q9" s="166"/>
      <c r="R9" s="165"/>
      <c r="S9" s="166"/>
      <c r="T9" s="165"/>
      <c r="U9" s="166"/>
      <c r="V9" s="165"/>
      <c r="W9" s="166"/>
      <c r="X9" s="165"/>
      <c r="Y9" s="166"/>
      <c r="Z9" s="167"/>
      <c r="AA9" s="168"/>
      <c r="AB9" s="165"/>
      <c r="AC9" s="166"/>
      <c r="AD9" s="165"/>
      <c r="AE9" s="166"/>
      <c r="AF9" s="165"/>
      <c r="AG9" s="166"/>
      <c r="AH9" s="167"/>
      <c r="AI9" s="168"/>
      <c r="AJ9" s="157">
        <f t="shared" si="1"/>
        <v>180</v>
      </c>
      <c r="AK9" s="164">
        <f>AJ9/'Anlage 1a'!AJ9*100</f>
        <v>21.924482338611451</v>
      </c>
    </row>
    <row r="10" spans="1:46" hidden="1" x14ac:dyDescent="0.25">
      <c r="A10" s="657" t="s">
        <v>26</v>
      </c>
      <c r="B10" s="658"/>
      <c r="C10" s="659"/>
      <c r="D10" s="660"/>
      <c r="E10" s="661"/>
      <c r="F10" s="660"/>
      <c r="G10" s="661"/>
      <c r="H10" s="660"/>
      <c r="I10" s="661"/>
      <c r="J10" s="660"/>
      <c r="K10" s="661"/>
      <c r="L10" s="658"/>
      <c r="M10" s="659"/>
      <c r="N10" s="660"/>
      <c r="O10" s="661"/>
      <c r="P10" s="660"/>
      <c r="Q10" s="661"/>
      <c r="R10" s="660"/>
      <c r="S10" s="661"/>
      <c r="T10" s="660"/>
      <c r="U10" s="661"/>
      <c r="V10" s="660"/>
      <c r="W10" s="661"/>
      <c r="X10" s="660"/>
      <c r="Y10" s="661"/>
      <c r="Z10" s="658"/>
      <c r="AA10" s="659"/>
      <c r="AB10" s="660"/>
      <c r="AC10" s="661"/>
      <c r="AD10" s="660"/>
      <c r="AE10" s="661"/>
      <c r="AF10" s="660"/>
      <c r="AG10" s="661"/>
      <c r="AH10" s="658"/>
      <c r="AI10" s="659"/>
      <c r="AJ10" s="660"/>
      <c r="AK10" s="659"/>
    </row>
    <row r="11" spans="1:46" x14ac:dyDescent="0.25">
      <c r="A11" s="147" t="s">
        <v>27</v>
      </c>
      <c r="B11" s="148"/>
      <c r="C11" s="149"/>
      <c r="D11" s="150">
        <v>15</v>
      </c>
      <c r="E11" s="151">
        <f>D11/'Anlage 1a'!D11*100</f>
        <v>22.058823529411764</v>
      </c>
      <c r="F11" s="150">
        <v>17</v>
      </c>
      <c r="G11" s="151">
        <f>F11/'Anlage 1a'!F11*100</f>
        <v>19.318181818181817</v>
      </c>
      <c r="H11" s="150">
        <v>16</v>
      </c>
      <c r="I11" s="151">
        <f>H11/'Anlage 1a'!H11*100</f>
        <v>23.880597014925371</v>
      </c>
      <c r="J11" s="150">
        <v>18</v>
      </c>
      <c r="K11" s="151">
        <f>J11/'Anlage 1a'!J11*100</f>
        <v>23.684210526315788</v>
      </c>
      <c r="L11" s="152">
        <f t="shared" si="0"/>
        <v>66</v>
      </c>
      <c r="M11" s="153">
        <f>L11/'Anlage 1a'!L11*100</f>
        <v>22.073578595317723</v>
      </c>
      <c r="N11" s="150"/>
      <c r="O11" s="154"/>
      <c r="P11" s="150"/>
      <c r="Q11" s="154"/>
      <c r="R11" s="150"/>
      <c r="S11" s="154"/>
      <c r="T11" s="150"/>
      <c r="U11" s="154"/>
      <c r="V11" s="150"/>
      <c r="W11" s="154"/>
      <c r="X11" s="150"/>
      <c r="Y11" s="154"/>
      <c r="Z11" s="155"/>
      <c r="AA11" s="156"/>
      <c r="AB11" s="150"/>
      <c r="AC11" s="154"/>
      <c r="AD11" s="150"/>
      <c r="AE11" s="154"/>
      <c r="AF11" s="150"/>
      <c r="AG11" s="154"/>
      <c r="AH11" s="155"/>
      <c r="AI11" s="156"/>
      <c r="AJ11" s="157">
        <f t="shared" si="1"/>
        <v>66</v>
      </c>
      <c r="AK11" s="153">
        <f>AJ11/'Anlage 1a'!AJ11*100</f>
        <v>22.073578595317723</v>
      </c>
    </row>
    <row r="12" spans="1:46" x14ac:dyDescent="0.25">
      <c r="A12" s="147" t="s">
        <v>28</v>
      </c>
      <c r="B12" s="148"/>
      <c r="C12" s="149"/>
      <c r="D12" s="150">
        <v>9</v>
      </c>
      <c r="E12" s="151">
        <f>D12/'Anlage 1a'!D12*100</f>
        <v>23.076923076923077</v>
      </c>
      <c r="F12" s="150">
        <v>9</v>
      </c>
      <c r="G12" s="151">
        <f>F12/'Anlage 1a'!F12*100</f>
        <v>18</v>
      </c>
      <c r="H12" s="150">
        <v>12</v>
      </c>
      <c r="I12" s="151">
        <f>H12/'Anlage 1a'!H12*100</f>
        <v>26.086956521739129</v>
      </c>
      <c r="J12" s="150">
        <v>13</v>
      </c>
      <c r="K12" s="151">
        <f>J12/'Anlage 1a'!J12*100</f>
        <v>30.952380952380953</v>
      </c>
      <c r="L12" s="152">
        <f t="shared" si="0"/>
        <v>43</v>
      </c>
      <c r="M12" s="153">
        <f>L12/'Anlage 1a'!L12*100</f>
        <v>24.293785310734464</v>
      </c>
      <c r="N12" s="150"/>
      <c r="O12" s="154"/>
      <c r="P12" s="150"/>
      <c r="Q12" s="154"/>
      <c r="R12" s="150"/>
      <c r="S12" s="154"/>
      <c r="T12" s="150"/>
      <c r="U12" s="154"/>
      <c r="V12" s="150"/>
      <c r="W12" s="154"/>
      <c r="X12" s="150"/>
      <c r="Y12" s="154"/>
      <c r="Z12" s="155"/>
      <c r="AA12" s="156"/>
      <c r="AB12" s="150"/>
      <c r="AC12" s="154"/>
      <c r="AD12" s="150"/>
      <c r="AE12" s="154"/>
      <c r="AF12" s="150"/>
      <c r="AG12" s="154"/>
      <c r="AH12" s="155"/>
      <c r="AI12" s="156"/>
      <c r="AJ12" s="157">
        <f t="shared" si="1"/>
        <v>43</v>
      </c>
      <c r="AK12" s="153">
        <f>AJ12/'Anlage 1a'!AJ12*100</f>
        <v>24.293785310734464</v>
      </c>
    </row>
    <row r="13" spans="1:46" x14ac:dyDescent="0.25">
      <c r="A13" s="147" t="s">
        <v>29</v>
      </c>
      <c r="B13" s="148"/>
      <c r="C13" s="149"/>
      <c r="D13" s="150">
        <v>17</v>
      </c>
      <c r="E13" s="151">
        <f>D13/'Anlage 1a'!D13*100</f>
        <v>24.285714285714285</v>
      </c>
      <c r="F13" s="150">
        <v>25</v>
      </c>
      <c r="G13" s="151">
        <f>F13/'Anlage 1a'!F13*100</f>
        <v>31.25</v>
      </c>
      <c r="H13" s="150">
        <v>17</v>
      </c>
      <c r="I13" s="151">
        <f>H13/'Anlage 1a'!H13*100</f>
        <v>20.73170731707317</v>
      </c>
      <c r="J13" s="150">
        <v>31</v>
      </c>
      <c r="K13" s="151">
        <f>J13/'Anlage 1a'!J13*100</f>
        <v>39.743589743589745</v>
      </c>
      <c r="L13" s="152">
        <f t="shared" si="0"/>
        <v>90</v>
      </c>
      <c r="M13" s="153">
        <f>L13/'Anlage 1a'!L13*100</f>
        <v>29.032258064516132</v>
      </c>
      <c r="N13" s="150"/>
      <c r="O13" s="154"/>
      <c r="P13" s="150"/>
      <c r="Q13" s="154"/>
      <c r="R13" s="150"/>
      <c r="S13" s="154"/>
      <c r="T13" s="150"/>
      <c r="U13" s="154"/>
      <c r="V13" s="150"/>
      <c r="W13" s="154"/>
      <c r="X13" s="150"/>
      <c r="Y13" s="154"/>
      <c r="Z13" s="155"/>
      <c r="AA13" s="156"/>
      <c r="AB13" s="150"/>
      <c r="AC13" s="154"/>
      <c r="AD13" s="150"/>
      <c r="AE13" s="154"/>
      <c r="AF13" s="150"/>
      <c r="AG13" s="154"/>
      <c r="AH13" s="155"/>
      <c r="AI13" s="156"/>
      <c r="AJ13" s="157">
        <f t="shared" si="1"/>
        <v>90</v>
      </c>
      <c r="AK13" s="153">
        <f>AJ13/'Anlage 1a'!AJ13*100</f>
        <v>29.032258064516132</v>
      </c>
    </row>
    <row r="14" spans="1:46" x14ac:dyDescent="0.25">
      <c r="A14" s="147" t="s">
        <v>58</v>
      </c>
      <c r="B14" s="148"/>
      <c r="C14" s="149"/>
      <c r="D14" s="150">
        <v>3</v>
      </c>
      <c r="E14" s="151">
        <f>D14/'Anlage 1a'!D14*100</f>
        <v>3.75</v>
      </c>
      <c r="F14" s="150">
        <v>4</v>
      </c>
      <c r="G14" s="151">
        <f>F14/'Anlage 1a'!F14*100</f>
        <v>6.666666666666667</v>
      </c>
      <c r="H14" s="150">
        <v>3</v>
      </c>
      <c r="I14" s="151">
        <f>H14/'Anlage 1a'!H14*100</f>
        <v>4.225352112676056</v>
      </c>
      <c r="J14" s="150">
        <v>4</v>
      </c>
      <c r="K14" s="151">
        <f>J14/'Anlage 1a'!J14*100</f>
        <v>7.1428571428571423</v>
      </c>
      <c r="L14" s="152">
        <f t="shared" si="0"/>
        <v>14</v>
      </c>
      <c r="M14" s="153">
        <f>L14/'Anlage 1a'!L14*100</f>
        <v>5.2434456928838955</v>
      </c>
      <c r="N14" s="150"/>
      <c r="O14" s="154"/>
      <c r="P14" s="150"/>
      <c r="Q14" s="154"/>
      <c r="R14" s="150"/>
      <c r="S14" s="154"/>
      <c r="T14" s="150"/>
      <c r="U14" s="154"/>
      <c r="V14" s="150"/>
      <c r="W14" s="154"/>
      <c r="X14" s="150"/>
      <c r="Y14" s="154"/>
      <c r="Z14" s="155"/>
      <c r="AA14" s="156"/>
      <c r="AB14" s="150"/>
      <c r="AC14" s="154"/>
      <c r="AD14" s="150"/>
      <c r="AE14" s="154"/>
      <c r="AF14" s="150"/>
      <c r="AG14" s="154"/>
      <c r="AH14" s="155"/>
      <c r="AI14" s="156"/>
      <c r="AJ14" s="157">
        <f t="shared" si="1"/>
        <v>14</v>
      </c>
      <c r="AK14" s="153">
        <f>AJ14/'Anlage 1a'!AJ14*100</f>
        <v>5.2434456928838955</v>
      </c>
    </row>
    <row r="15" spans="1:46" s="123" customFormat="1" x14ac:dyDescent="0.25">
      <c r="A15" s="147" t="s">
        <v>292</v>
      </c>
      <c r="B15" s="148"/>
      <c r="C15" s="149"/>
      <c r="D15" s="150">
        <v>10</v>
      </c>
      <c r="E15" s="151">
        <f>D15/'Anlage 1a'!D15*100</f>
        <v>12.5</v>
      </c>
      <c r="F15" s="150">
        <v>15</v>
      </c>
      <c r="G15" s="151">
        <f>F15/'Anlage 1a'!F15*100</f>
        <v>17.647058823529413</v>
      </c>
      <c r="H15" s="150">
        <v>13</v>
      </c>
      <c r="I15" s="151">
        <f>H15/'Anlage 1a'!H15*100</f>
        <v>17.567567567567568</v>
      </c>
      <c r="J15" s="150">
        <v>12</v>
      </c>
      <c r="K15" s="151">
        <f>J15/'Anlage 1a'!J15*100</f>
        <v>16.216216216216218</v>
      </c>
      <c r="L15" s="152">
        <f t="shared" si="0"/>
        <v>50</v>
      </c>
      <c r="M15" s="153">
        <f>L15/'Anlage 1a'!L15*100</f>
        <v>15.974440894568689</v>
      </c>
      <c r="N15" s="150"/>
      <c r="O15" s="154"/>
      <c r="P15" s="150"/>
      <c r="Q15" s="154"/>
      <c r="R15" s="150"/>
      <c r="S15" s="154"/>
      <c r="T15" s="150"/>
      <c r="U15" s="154"/>
      <c r="V15" s="150"/>
      <c r="W15" s="154"/>
      <c r="X15" s="150"/>
      <c r="Y15" s="154"/>
      <c r="Z15" s="155"/>
      <c r="AA15" s="156"/>
      <c r="AB15" s="150"/>
      <c r="AC15" s="154"/>
      <c r="AD15" s="150"/>
      <c r="AE15" s="154"/>
      <c r="AF15" s="150"/>
      <c r="AG15" s="154"/>
      <c r="AH15" s="155"/>
      <c r="AI15" s="156"/>
      <c r="AJ15" s="157">
        <f t="shared" si="1"/>
        <v>50</v>
      </c>
      <c r="AK15" s="153">
        <f>AJ15/'Anlage 1a'!AJ15*100</f>
        <v>15.974440894568689</v>
      </c>
    </row>
    <row r="16" spans="1:46" s="123" customFormat="1" ht="20.100000000000001" customHeight="1" x14ac:dyDescent="0.25">
      <c r="A16" s="158" t="s">
        <v>30</v>
      </c>
      <c r="B16" s="159"/>
      <c r="C16" s="160"/>
      <c r="D16" s="161">
        <f>SUM(D10,D11:D15)</f>
        <v>54</v>
      </c>
      <c r="E16" s="162">
        <f>D16/'Anlage 1a'!D16*100</f>
        <v>16.023738872403563</v>
      </c>
      <c r="F16" s="161">
        <f>SUM(F10,F11:F15)</f>
        <v>70</v>
      </c>
      <c r="G16" s="162">
        <f>F16/'Anlage 1a'!F16*100</f>
        <v>19.28374655647383</v>
      </c>
      <c r="H16" s="161">
        <f>SUM(H10,H11:H15)</f>
        <v>61</v>
      </c>
      <c r="I16" s="162">
        <f>H16/'Anlage 1a'!H16*100</f>
        <v>17.941176470588236</v>
      </c>
      <c r="J16" s="161">
        <f>SUM(J10,J11:J15)</f>
        <v>78</v>
      </c>
      <c r="K16" s="162">
        <f>J16/'Anlage 1a'!J16*100</f>
        <v>23.926380368098162</v>
      </c>
      <c r="L16" s="163">
        <f>SUM(L10,L11:L15)</f>
        <v>263</v>
      </c>
      <c r="M16" s="164">
        <f>L16/'Anlage 1a'!L16*100</f>
        <v>19.253294289897511</v>
      </c>
      <c r="N16" s="165"/>
      <c r="O16" s="166"/>
      <c r="P16" s="165"/>
      <c r="Q16" s="166"/>
      <c r="R16" s="165"/>
      <c r="S16" s="166"/>
      <c r="T16" s="165"/>
      <c r="U16" s="166"/>
      <c r="V16" s="165"/>
      <c r="W16" s="166"/>
      <c r="X16" s="165"/>
      <c r="Y16" s="166"/>
      <c r="Z16" s="167"/>
      <c r="AA16" s="168"/>
      <c r="AB16" s="165"/>
      <c r="AC16" s="166"/>
      <c r="AD16" s="165"/>
      <c r="AE16" s="166"/>
      <c r="AF16" s="165"/>
      <c r="AG16" s="166"/>
      <c r="AH16" s="167"/>
      <c r="AI16" s="168"/>
      <c r="AJ16" s="157">
        <f t="shared" si="1"/>
        <v>263</v>
      </c>
      <c r="AK16" s="164">
        <f>AJ16/'Anlage 1a'!AJ16*100</f>
        <v>19.253294289897511</v>
      </c>
    </row>
    <row r="17" spans="1:37" x14ac:dyDescent="0.25">
      <c r="A17" s="205" t="s">
        <v>317</v>
      </c>
      <c r="B17" s="148"/>
      <c r="C17" s="149"/>
      <c r="D17" s="150">
        <v>5</v>
      </c>
      <c r="E17" s="151">
        <f>D17/'Anlage 1a'!D17*100</f>
        <v>27.777777777777779</v>
      </c>
      <c r="F17" s="150">
        <v>2</v>
      </c>
      <c r="G17" s="151">
        <f>F17/'Anlage 1a'!F17*100</f>
        <v>9.0909090909090917</v>
      </c>
      <c r="H17" s="150">
        <v>2</v>
      </c>
      <c r="I17" s="151">
        <f>H17/'Anlage 1a'!H17*100</f>
        <v>5.5555555555555554</v>
      </c>
      <c r="J17" s="150">
        <v>6</v>
      </c>
      <c r="K17" s="151">
        <f>J17/'Anlage 1a'!J17*100</f>
        <v>35.294117647058826</v>
      </c>
      <c r="L17" s="152">
        <f t="shared" si="0"/>
        <v>15</v>
      </c>
      <c r="M17" s="153">
        <f>L17/'Anlage 1a'!L17*100</f>
        <v>16.129032258064516</v>
      </c>
      <c r="N17" s="150"/>
      <c r="O17" s="154"/>
      <c r="P17" s="150"/>
      <c r="Q17" s="154"/>
      <c r="R17" s="150"/>
      <c r="S17" s="154"/>
      <c r="T17" s="150"/>
      <c r="U17" s="154"/>
      <c r="V17" s="150"/>
      <c r="W17" s="154"/>
      <c r="X17" s="150"/>
      <c r="Y17" s="154"/>
      <c r="Z17" s="155"/>
      <c r="AA17" s="156"/>
      <c r="AB17" s="150"/>
      <c r="AC17" s="154"/>
      <c r="AD17" s="150"/>
      <c r="AE17" s="154"/>
      <c r="AF17" s="150"/>
      <c r="AG17" s="154"/>
      <c r="AH17" s="155"/>
      <c r="AI17" s="156"/>
      <c r="AJ17" s="157">
        <f t="shared" si="1"/>
        <v>15</v>
      </c>
      <c r="AK17" s="153">
        <f>AJ17/'Anlage 1a'!AJ17*100</f>
        <v>16.129032258064516</v>
      </c>
    </row>
    <row r="18" spans="1:37" x14ac:dyDescent="0.25">
      <c r="A18" s="147" t="s">
        <v>316</v>
      </c>
      <c r="B18" s="148"/>
      <c r="C18" s="149"/>
      <c r="D18" s="150">
        <v>4</v>
      </c>
      <c r="E18" s="151">
        <f>D18/'Anlage 1a'!D18*100</f>
        <v>11.111111111111111</v>
      </c>
      <c r="F18" s="150">
        <v>5</v>
      </c>
      <c r="G18" s="151">
        <f>F18/'Anlage 1a'!F18*100</f>
        <v>11.363636363636363</v>
      </c>
      <c r="H18" s="150">
        <v>8</v>
      </c>
      <c r="I18" s="151">
        <f>H18/'Anlage 1a'!H18*100</f>
        <v>17.391304347826086</v>
      </c>
      <c r="J18" s="150">
        <v>2</v>
      </c>
      <c r="K18" s="151">
        <f>J18/'Anlage 1a'!J18*100</f>
        <v>5</v>
      </c>
      <c r="L18" s="152">
        <f t="shared" si="0"/>
        <v>19</v>
      </c>
      <c r="M18" s="153">
        <f>L18/'Anlage 1a'!L18*100</f>
        <v>11.445783132530121</v>
      </c>
      <c r="N18" s="150"/>
      <c r="O18" s="154"/>
      <c r="P18" s="150"/>
      <c r="Q18" s="154"/>
      <c r="R18" s="150"/>
      <c r="S18" s="154"/>
      <c r="T18" s="150"/>
      <c r="U18" s="154"/>
      <c r="V18" s="150"/>
      <c r="W18" s="154"/>
      <c r="X18" s="150"/>
      <c r="Y18" s="154"/>
      <c r="Z18" s="155"/>
      <c r="AA18" s="156"/>
      <c r="AB18" s="150"/>
      <c r="AC18" s="154"/>
      <c r="AD18" s="150"/>
      <c r="AE18" s="154"/>
      <c r="AF18" s="150"/>
      <c r="AG18" s="154"/>
      <c r="AH18" s="155"/>
      <c r="AI18" s="156"/>
      <c r="AJ18" s="157">
        <f t="shared" si="1"/>
        <v>19</v>
      </c>
      <c r="AK18" s="153">
        <f>AJ18/'Anlage 1a'!AJ18*100</f>
        <v>11.445783132530121</v>
      </c>
    </row>
    <row r="19" spans="1:37" x14ac:dyDescent="0.25">
      <c r="A19" s="147" t="s">
        <v>289</v>
      </c>
      <c r="B19" s="148"/>
      <c r="C19" s="149"/>
      <c r="D19" s="150">
        <v>6</v>
      </c>
      <c r="E19" s="151">
        <f>D19/'Anlage 1a'!D19*100</f>
        <v>12.76595744680851</v>
      </c>
      <c r="F19" s="150">
        <v>5</v>
      </c>
      <c r="G19" s="151">
        <f>F19/'Anlage 1a'!F19*100</f>
        <v>8.9285714285714288</v>
      </c>
      <c r="H19" s="150">
        <v>6</v>
      </c>
      <c r="I19" s="151">
        <f>H19/'Anlage 1a'!H19*100</f>
        <v>13.333333333333334</v>
      </c>
      <c r="J19" s="150">
        <v>10</v>
      </c>
      <c r="K19" s="151">
        <f>J19/'Anlage 1a'!J19*100</f>
        <v>21.739130434782609</v>
      </c>
      <c r="L19" s="152">
        <f t="shared" si="0"/>
        <v>27</v>
      </c>
      <c r="M19" s="153">
        <f>L19/'Anlage 1a'!L19*100</f>
        <v>13.917525773195877</v>
      </c>
      <c r="N19" s="150"/>
      <c r="O19" s="154"/>
      <c r="P19" s="150"/>
      <c r="Q19" s="154"/>
      <c r="R19" s="150"/>
      <c r="S19" s="154"/>
      <c r="T19" s="150"/>
      <c r="U19" s="154"/>
      <c r="V19" s="150"/>
      <c r="W19" s="154"/>
      <c r="X19" s="150"/>
      <c r="Y19" s="154"/>
      <c r="Z19" s="155"/>
      <c r="AA19" s="156"/>
      <c r="AB19" s="150"/>
      <c r="AC19" s="154"/>
      <c r="AD19" s="150"/>
      <c r="AE19" s="154"/>
      <c r="AF19" s="150"/>
      <c r="AG19" s="154"/>
      <c r="AH19" s="155"/>
      <c r="AI19" s="156"/>
      <c r="AJ19" s="157">
        <f t="shared" si="1"/>
        <v>27</v>
      </c>
      <c r="AK19" s="153">
        <f>AJ19/'Anlage 1a'!AJ19*100</f>
        <v>13.917525773195877</v>
      </c>
    </row>
    <row r="20" spans="1:37" x14ac:dyDescent="0.25">
      <c r="A20" s="147" t="s">
        <v>290</v>
      </c>
      <c r="B20" s="148"/>
      <c r="C20" s="149"/>
      <c r="D20" s="150">
        <v>2</v>
      </c>
      <c r="E20" s="151">
        <f>D20/'Anlage 1a'!D20*100</f>
        <v>8</v>
      </c>
      <c r="F20" s="150">
        <v>3</v>
      </c>
      <c r="G20" s="151">
        <f>F20/'Anlage 1a'!F20*100</f>
        <v>12.5</v>
      </c>
      <c r="H20" s="150">
        <v>4</v>
      </c>
      <c r="I20" s="151">
        <f>H20/'Anlage 1a'!H20*100</f>
        <v>16.666666666666664</v>
      </c>
      <c r="J20" s="150">
        <v>1</v>
      </c>
      <c r="K20" s="151">
        <f>J20/'Anlage 1a'!J20*100</f>
        <v>4</v>
      </c>
      <c r="L20" s="152">
        <f t="shared" si="0"/>
        <v>10</v>
      </c>
      <c r="M20" s="153">
        <f>L20/'Anlage 1a'!L20*100</f>
        <v>10.204081632653061</v>
      </c>
      <c r="N20" s="150"/>
      <c r="O20" s="154"/>
      <c r="P20" s="150"/>
      <c r="Q20" s="154"/>
      <c r="R20" s="150"/>
      <c r="S20" s="154"/>
      <c r="T20" s="150"/>
      <c r="U20" s="154"/>
      <c r="V20" s="150"/>
      <c r="W20" s="154"/>
      <c r="X20" s="150"/>
      <c r="Y20" s="154"/>
      <c r="Z20" s="155"/>
      <c r="AA20" s="156"/>
      <c r="AB20" s="150"/>
      <c r="AC20" s="154"/>
      <c r="AD20" s="150"/>
      <c r="AE20" s="154"/>
      <c r="AF20" s="150"/>
      <c r="AG20" s="154"/>
      <c r="AH20" s="155"/>
      <c r="AI20" s="156"/>
      <c r="AJ20" s="157">
        <f t="shared" si="1"/>
        <v>10</v>
      </c>
      <c r="AK20" s="153">
        <f>AJ20/'Anlage 1a'!AJ20*100</f>
        <v>10.204081632653061</v>
      </c>
    </row>
    <row r="21" spans="1:37" s="123" customFormat="1" x14ac:dyDescent="0.25">
      <c r="A21" s="147" t="s">
        <v>51</v>
      </c>
      <c r="B21" s="148"/>
      <c r="C21" s="149"/>
      <c r="D21" s="150">
        <v>1</v>
      </c>
      <c r="E21" s="151">
        <f>D21/'Anlage 1a'!D21*100</f>
        <v>1.4925373134328357</v>
      </c>
      <c r="F21" s="150">
        <v>3</v>
      </c>
      <c r="G21" s="151">
        <f>F21/'Anlage 1a'!F21*100</f>
        <v>4.1666666666666661</v>
      </c>
      <c r="H21" s="150">
        <v>4</v>
      </c>
      <c r="I21" s="151">
        <f>H21/'Anlage 1a'!H21*100</f>
        <v>6.1538461538461542</v>
      </c>
      <c r="J21" s="150">
        <v>7</v>
      </c>
      <c r="K21" s="151">
        <f>J21/'Anlage 1a'!J21*100</f>
        <v>10.9375</v>
      </c>
      <c r="L21" s="152">
        <f>SUM(D21,F21,H21,J21)</f>
        <v>15</v>
      </c>
      <c r="M21" s="153">
        <f>L21/'Anlage 1a'!L21*100</f>
        <v>5.5970149253731343</v>
      </c>
      <c r="N21" s="150"/>
      <c r="O21" s="154"/>
      <c r="P21" s="150"/>
      <c r="Q21" s="154"/>
      <c r="R21" s="150"/>
      <c r="S21" s="154"/>
      <c r="T21" s="150"/>
      <c r="U21" s="154"/>
      <c r="V21" s="150"/>
      <c r="W21" s="154"/>
      <c r="X21" s="150"/>
      <c r="Y21" s="154"/>
      <c r="Z21" s="155"/>
      <c r="AA21" s="156"/>
      <c r="AB21" s="150"/>
      <c r="AC21" s="154"/>
      <c r="AD21" s="150"/>
      <c r="AE21" s="154"/>
      <c r="AF21" s="150"/>
      <c r="AG21" s="154"/>
      <c r="AH21" s="155"/>
      <c r="AI21" s="156"/>
      <c r="AJ21" s="157">
        <f t="shared" si="1"/>
        <v>15</v>
      </c>
      <c r="AK21" s="153">
        <f>AJ21/'Anlage 1a'!AJ21*100</f>
        <v>5.5970149253731343</v>
      </c>
    </row>
    <row r="22" spans="1:37" s="123" customFormat="1" ht="20.100000000000001" customHeight="1" x14ac:dyDescent="0.25">
      <c r="A22" s="158" t="s">
        <v>31</v>
      </c>
      <c r="B22" s="159"/>
      <c r="C22" s="160"/>
      <c r="D22" s="161">
        <f>SUM(D17,D18:D21)</f>
        <v>18</v>
      </c>
      <c r="E22" s="162">
        <f>D22/'Anlage 1a'!D22*100</f>
        <v>9.3264248704663206</v>
      </c>
      <c r="F22" s="161">
        <f>SUM(F17,F18:F21)</f>
        <v>18</v>
      </c>
      <c r="G22" s="162">
        <f>F22/'Anlage 1a'!F22*100</f>
        <v>8.2568807339449553</v>
      </c>
      <c r="H22" s="161">
        <f>SUM(H17,H18:H21)</f>
        <v>24</v>
      </c>
      <c r="I22" s="162">
        <f>H22/'Anlage 1a'!H22*100</f>
        <v>11.111111111111111</v>
      </c>
      <c r="J22" s="161">
        <f>SUM(J17,J18:J21)</f>
        <v>26</v>
      </c>
      <c r="K22" s="162">
        <f>J22/'Anlage 1a'!J22*100</f>
        <v>13.541666666666666</v>
      </c>
      <c r="L22" s="163">
        <f>SUM(L17,L18:L21)</f>
        <v>86</v>
      </c>
      <c r="M22" s="164">
        <f>L22/'Anlage 1a'!L22*100</f>
        <v>10.500610500610501</v>
      </c>
      <c r="N22" s="165"/>
      <c r="O22" s="166"/>
      <c r="P22" s="165"/>
      <c r="Q22" s="166"/>
      <c r="R22" s="165"/>
      <c r="S22" s="166"/>
      <c r="T22" s="165" t="s">
        <v>53</v>
      </c>
      <c r="U22" s="166"/>
      <c r="V22" s="165"/>
      <c r="W22" s="166"/>
      <c r="X22" s="165"/>
      <c r="Y22" s="166"/>
      <c r="Z22" s="167"/>
      <c r="AA22" s="168"/>
      <c r="AB22" s="165"/>
      <c r="AC22" s="166"/>
      <c r="AD22" s="165"/>
      <c r="AE22" s="166"/>
      <c r="AF22" s="165"/>
      <c r="AG22" s="166"/>
      <c r="AH22" s="167"/>
      <c r="AI22" s="168"/>
      <c r="AJ22" s="157">
        <f t="shared" si="1"/>
        <v>86</v>
      </c>
      <c r="AK22" s="164">
        <f>AJ22/'Anlage 1a'!AJ22*100</f>
        <v>10.500610500610501</v>
      </c>
    </row>
    <row r="23" spans="1:37" x14ac:dyDescent="0.25">
      <c r="A23" s="147" t="s">
        <v>32</v>
      </c>
      <c r="B23" s="148"/>
      <c r="C23" s="149"/>
      <c r="D23" s="150">
        <v>2</v>
      </c>
      <c r="E23" s="151">
        <f>D23/'Anlage 1a'!D23*100</f>
        <v>2.3809523809523809</v>
      </c>
      <c r="F23" s="150">
        <v>8</v>
      </c>
      <c r="G23" s="151">
        <f>F23/'Anlage 1a'!F23*100</f>
        <v>8.4210526315789469</v>
      </c>
      <c r="H23" s="150">
        <v>4</v>
      </c>
      <c r="I23" s="151">
        <f>H23/'Anlage 1a'!H23*100</f>
        <v>5.1282051282051277</v>
      </c>
      <c r="J23" s="150">
        <v>4</v>
      </c>
      <c r="K23" s="151">
        <f>J23/'Anlage 1a'!J23*100</f>
        <v>4.8780487804878048</v>
      </c>
      <c r="L23" s="152">
        <f>SUM(D23,F23,H23,J23)</f>
        <v>18</v>
      </c>
      <c r="M23" s="153">
        <f>L23/'Anlage 1a'!L23*100</f>
        <v>5.3097345132743365</v>
      </c>
      <c r="N23" s="150"/>
      <c r="O23" s="154"/>
      <c r="P23" s="150"/>
      <c r="Q23" s="154"/>
      <c r="R23" s="150"/>
      <c r="S23" s="154"/>
      <c r="T23" s="150"/>
      <c r="U23" s="154"/>
      <c r="V23" s="150"/>
      <c r="W23" s="154"/>
      <c r="X23" s="150"/>
      <c r="Y23" s="154"/>
      <c r="Z23" s="155"/>
      <c r="AA23" s="156"/>
      <c r="AB23" s="150"/>
      <c r="AC23" s="154"/>
      <c r="AD23" s="150"/>
      <c r="AE23" s="154"/>
      <c r="AF23" s="150"/>
      <c r="AG23" s="154"/>
      <c r="AH23" s="155"/>
      <c r="AI23" s="156"/>
      <c r="AJ23" s="157">
        <f t="shared" si="1"/>
        <v>18</v>
      </c>
      <c r="AK23" s="153">
        <f>AJ23/'Anlage 1a'!AJ23*100</f>
        <v>5.3097345132743365</v>
      </c>
    </row>
    <row r="24" spans="1:37" s="123" customFormat="1" ht="14.25" thickBot="1" x14ac:dyDescent="0.3">
      <c r="A24" s="147" t="s">
        <v>33</v>
      </c>
      <c r="B24" s="148"/>
      <c r="C24" s="149"/>
      <c r="D24" s="150">
        <v>0</v>
      </c>
      <c r="E24" s="151">
        <f>D24/'Anlage 1a'!D24*100</f>
        <v>0</v>
      </c>
      <c r="F24" s="150">
        <v>3</v>
      </c>
      <c r="G24" s="151">
        <f>F24/'Anlage 1a'!H24*100</f>
        <v>5.7692307692307692</v>
      </c>
      <c r="H24" s="150">
        <v>3</v>
      </c>
      <c r="I24" s="151">
        <f>H24/'Anlage 1a'!H24*100</f>
        <v>5.7692307692307692</v>
      </c>
      <c r="J24" s="150">
        <v>4</v>
      </c>
      <c r="K24" s="151">
        <f>J24/'Anlage 1a'!J24*100</f>
        <v>8</v>
      </c>
      <c r="L24" s="152">
        <f>SUM(D24,F24,H24,J24)</f>
        <v>10</v>
      </c>
      <c r="M24" s="153">
        <f>L24/'Anlage 1a'!L24*100</f>
        <v>5.2356020942408374</v>
      </c>
      <c r="N24" s="150"/>
      <c r="O24" s="154"/>
      <c r="P24" s="150"/>
      <c r="Q24" s="154"/>
      <c r="R24" s="150"/>
      <c r="S24" s="154"/>
      <c r="T24" s="150"/>
      <c r="U24" s="154"/>
      <c r="V24" s="150"/>
      <c r="W24" s="154"/>
      <c r="X24" s="150"/>
      <c r="Y24" s="154"/>
      <c r="Z24" s="169"/>
      <c r="AA24" s="170"/>
      <c r="AB24" s="150"/>
      <c r="AC24" s="154"/>
      <c r="AD24" s="150"/>
      <c r="AE24" s="154"/>
      <c r="AF24" s="150"/>
      <c r="AG24" s="154"/>
      <c r="AH24" s="169"/>
      <c r="AI24" s="170"/>
      <c r="AJ24" s="157">
        <f t="shared" si="1"/>
        <v>10</v>
      </c>
      <c r="AK24" s="153">
        <f>AJ24/'Anlage 1a'!AJ24*100</f>
        <v>5.2356020942408374</v>
      </c>
    </row>
    <row r="25" spans="1:37" s="123" customFormat="1" ht="20.100000000000001" customHeight="1" thickBot="1" x14ac:dyDescent="0.3">
      <c r="A25" s="158" t="s">
        <v>34</v>
      </c>
      <c r="B25" s="159"/>
      <c r="C25" s="160"/>
      <c r="D25" s="161">
        <f>SUM(D23,D24)</f>
        <v>2</v>
      </c>
      <c r="E25" s="161">
        <f t="shared" ref="E25:AK25" si="2">SUM(E23,E24)</f>
        <v>2.3809523809523809</v>
      </c>
      <c r="F25" s="161">
        <f t="shared" si="2"/>
        <v>11</v>
      </c>
      <c r="G25" s="161">
        <f t="shared" si="2"/>
        <v>14.190283400809715</v>
      </c>
      <c r="H25" s="161">
        <f t="shared" si="2"/>
        <v>7</v>
      </c>
      <c r="I25" s="162">
        <f t="shared" si="2"/>
        <v>10.897435897435898</v>
      </c>
      <c r="J25" s="161">
        <f t="shared" si="2"/>
        <v>8</v>
      </c>
      <c r="K25" s="854">
        <f t="shared" si="2"/>
        <v>12.878048780487806</v>
      </c>
      <c r="L25" s="171">
        <f t="shared" si="2"/>
        <v>28</v>
      </c>
      <c r="M25" s="172">
        <f t="shared" si="2"/>
        <v>10.545336607515175</v>
      </c>
      <c r="N25" s="173">
        <f t="shared" si="2"/>
        <v>0</v>
      </c>
      <c r="O25" s="174">
        <f t="shared" si="2"/>
        <v>0</v>
      </c>
      <c r="P25" s="174">
        <f t="shared" si="2"/>
        <v>0</v>
      </c>
      <c r="Q25" s="174">
        <f t="shared" si="2"/>
        <v>0</v>
      </c>
      <c r="R25" s="174">
        <f t="shared" si="2"/>
        <v>0</v>
      </c>
      <c r="S25" s="174">
        <f t="shared" si="2"/>
        <v>0</v>
      </c>
      <c r="T25" s="174">
        <f t="shared" si="2"/>
        <v>0</v>
      </c>
      <c r="U25" s="174">
        <f t="shared" si="2"/>
        <v>0</v>
      </c>
      <c r="V25" s="174">
        <f t="shared" si="2"/>
        <v>0</v>
      </c>
      <c r="W25" s="174">
        <f t="shared" si="2"/>
        <v>0</v>
      </c>
      <c r="X25" s="174">
        <f t="shared" si="2"/>
        <v>0</v>
      </c>
      <c r="Y25" s="175">
        <f t="shared" si="2"/>
        <v>0</v>
      </c>
      <c r="Z25" s="176">
        <f t="shared" si="2"/>
        <v>0</v>
      </c>
      <c r="AA25" s="177">
        <f t="shared" si="2"/>
        <v>0</v>
      </c>
      <c r="AB25" s="173">
        <f t="shared" si="2"/>
        <v>0</v>
      </c>
      <c r="AC25" s="174">
        <f t="shared" si="2"/>
        <v>0</v>
      </c>
      <c r="AD25" s="174">
        <f t="shared" si="2"/>
        <v>0</v>
      </c>
      <c r="AE25" s="174">
        <f t="shared" si="2"/>
        <v>0</v>
      </c>
      <c r="AF25" s="174">
        <f t="shared" si="2"/>
        <v>0</v>
      </c>
      <c r="AG25" s="175">
        <f t="shared" si="2"/>
        <v>0</v>
      </c>
      <c r="AH25" s="178">
        <f t="shared" si="2"/>
        <v>0</v>
      </c>
      <c r="AI25" s="179">
        <f t="shared" si="2"/>
        <v>0</v>
      </c>
      <c r="AJ25" s="180">
        <f t="shared" si="2"/>
        <v>28</v>
      </c>
      <c r="AK25" s="161">
        <f t="shared" si="2"/>
        <v>10.545336607515175</v>
      </c>
    </row>
    <row r="26" spans="1:37" s="123" customFormat="1" ht="19.5" customHeight="1" thickBot="1" x14ac:dyDescent="0.3">
      <c r="A26" s="181" t="s">
        <v>35</v>
      </c>
      <c r="B26" s="182"/>
      <c r="C26" s="183"/>
      <c r="D26" s="184">
        <f>SUM(D25,D22,D16,D9)</f>
        <v>115</v>
      </c>
      <c r="E26" s="185">
        <f>D26/'Anlage 1a'!D26*100</f>
        <v>13.690476190476192</v>
      </c>
      <c r="F26" s="184">
        <f>SUM(F25,F22,F16,F9)</f>
        <v>151</v>
      </c>
      <c r="G26" s="185">
        <f>F26/'Anlage 1a'!F26*100</f>
        <v>16.201716738197426</v>
      </c>
      <c r="H26" s="184">
        <f>SUM(H25,H22,H16,H9)</f>
        <v>129</v>
      </c>
      <c r="I26" s="185">
        <f>H26/'Anlage 1a'!H26*100</f>
        <v>14.625850340136054</v>
      </c>
      <c r="J26" s="184">
        <f>SUM(J25,J22,J16,J9)</f>
        <v>162</v>
      </c>
      <c r="K26" s="186">
        <f>J26/'Anlage 1a'!J26*100</f>
        <v>18.367346938775512</v>
      </c>
      <c r="L26" s="187">
        <f>SUM(L25,L22,L16,L9)</f>
        <v>557</v>
      </c>
      <c r="M26" s="188">
        <f>L26/'Anlage 1a'!L26*100</f>
        <v>15.752262443438914</v>
      </c>
      <c r="N26" s="189"/>
      <c r="O26" s="190"/>
      <c r="P26" s="191"/>
      <c r="Q26" s="190"/>
      <c r="R26" s="191"/>
      <c r="S26" s="190"/>
      <c r="T26" s="191"/>
      <c r="U26" s="190"/>
      <c r="V26" s="191"/>
      <c r="W26" s="190"/>
      <c r="X26" s="191"/>
      <c r="Y26" s="192"/>
      <c r="Z26" s="193"/>
      <c r="AA26" s="194"/>
      <c r="AB26" s="189"/>
      <c r="AC26" s="190"/>
      <c r="AD26" s="191"/>
      <c r="AE26" s="190"/>
      <c r="AF26" s="191"/>
      <c r="AG26" s="190"/>
      <c r="AH26" s="193"/>
      <c r="AI26" s="194"/>
      <c r="AJ26" s="184">
        <f>SUM(AJ25,AJ22,AJ16,AJ9)</f>
        <v>557</v>
      </c>
      <c r="AK26" s="188">
        <f>AJ26/'Anlage 1a'!AJ26*100</f>
        <v>15.752262443438914</v>
      </c>
    </row>
    <row r="27" spans="1:37" ht="14.25" thickBot="1" x14ac:dyDescent="0.3">
      <c r="A27" s="147" t="s">
        <v>36</v>
      </c>
      <c r="B27" s="195"/>
      <c r="C27" s="196"/>
      <c r="D27" s="197"/>
      <c r="E27" s="154"/>
      <c r="F27" s="150"/>
      <c r="G27" s="154"/>
      <c r="H27" s="150"/>
      <c r="I27" s="154"/>
      <c r="J27" s="150"/>
      <c r="K27" s="154"/>
      <c r="L27" s="155"/>
      <c r="M27" s="156"/>
      <c r="N27" s="150">
        <v>18</v>
      </c>
      <c r="O27" s="151">
        <f>N27/'Anlage 1a'!N27*100</f>
        <v>34.615384615384613</v>
      </c>
      <c r="P27" s="150">
        <v>19</v>
      </c>
      <c r="Q27" s="151">
        <f>P27/'Anlage 1a'!P27*100</f>
        <v>41.304347826086953</v>
      </c>
      <c r="R27" s="150">
        <v>13</v>
      </c>
      <c r="S27" s="151">
        <f>R27/'Anlage 1a'!R27*100</f>
        <v>36.111111111111107</v>
      </c>
      <c r="T27" s="150">
        <v>21</v>
      </c>
      <c r="U27" s="151">
        <f>T27/'Anlage 1a'!T27*100</f>
        <v>41.17647058823529</v>
      </c>
      <c r="V27" s="150">
        <v>10</v>
      </c>
      <c r="W27" s="151">
        <f>V27/'Anlage 1a'!V27*100</f>
        <v>21.276595744680851</v>
      </c>
      <c r="X27" s="150">
        <v>9</v>
      </c>
      <c r="Y27" s="151">
        <f>X27/'Anlage 1a'!X27*100</f>
        <v>19.148936170212767</v>
      </c>
      <c r="Z27" s="152">
        <f>SUM(N27,P27,R27,T27,V27,X27)</f>
        <v>90</v>
      </c>
      <c r="AA27" s="153">
        <f>Z27/'Anlage 1a'!Z27*100</f>
        <v>32.258064516129032</v>
      </c>
      <c r="AB27" s="150"/>
      <c r="AC27" s="154"/>
      <c r="AD27" s="150"/>
      <c r="AE27" s="154"/>
      <c r="AF27" s="150"/>
      <c r="AG27" s="154"/>
      <c r="AH27" s="155"/>
      <c r="AI27" s="156"/>
      <c r="AJ27" s="157">
        <f t="shared" ref="AJ27:AJ35" si="3">SUM(L27,Z27,AH27)</f>
        <v>90</v>
      </c>
      <c r="AK27" s="153">
        <f>AJ27/'Anlage 1a'!AJ27*100</f>
        <v>32.258064516129032</v>
      </c>
    </row>
    <row r="28" spans="1:37" s="123" customFormat="1" ht="14.25" thickBot="1" x14ac:dyDescent="0.3">
      <c r="A28" s="198" t="s">
        <v>38</v>
      </c>
      <c r="B28" s="182"/>
      <c r="C28" s="183"/>
      <c r="D28" s="587"/>
      <c r="E28" s="840"/>
      <c r="F28" s="588"/>
      <c r="G28" s="840"/>
      <c r="H28" s="588"/>
      <c r="I28" s="840"/>
      <c r="J28" s="588"/>
      <c r="K28" s="841"/>
      <c r="L28" s="842"/>
      <c r="M28" s="843"/>
      <c r="N28" s="204">
        <f>SUM(N26:N27)</f>
        <v>18</v>
      </c>
      <c r="O28" s="185">
        <f>N28/'Anlage 1a'!N28*100</f>
        <v>34.615384615384613</v>
      </c>
      <c r="P28" s="204">
        <f>SUM(P26:P27)</f>
        <v>19</v>
      </c>
      <c r="Q28" s="185">
        <f>P28/'Anlage 1a'!P28*100</f>
        <v>41.304347826086953</v>
      </c>
      <c r="R28" s="204">
        <f>SUM(R26:R27)</f>
        <v>13</v>
      </c>
      <c r="S28" s="185">
        <f>R28/'Anlage 1a'!R28*100</f>
        <v>36.111111111111107</v>
      </c>
      <c r="T28" s="204">
        <f>SUM(T26:T27)</f>
        <v>21</v>
      </c>
      <c r="U28" s="185">
        <f>T28/'Anlage 1a'!T28*100</f>
        <v>41.17647058823529</v>
      </c>
      <c r="V28" s="204">
        <f>SUM(V26:V27)</f>
        <v>10</v>
      </c>
      <c r="W28" s="185">
        <f>V28/'Anlage 1a'!V28*100</f>
        <v>21.276595744680851</v>
      </c>
      <c r="X28" s="204">
        <f>SUM(X26:X27)</f>
        <v>9</v>
      </c>
      <c r="Y28" s="185">
        <f>X28/'Anlage 1a'!X28*100</f>
        <v>19.148936170212767</v>
      </c>
      <c r="Z28" s="184">
        <f t="shared" ref="Z28:Z35" si="4">SUM(N28,P28,R28,T28,V28,X28)</f>
        <v>90</v>
      </c>
      <c r="AA28" s="185">
        <f>Z28/'Anlage 1a'!Z28*100</f>
        <v>32.258064516129032</v>
      </c>
      <c r="AB28" s="200"/>
      <c r="AC28" s="199"/>
      <c r="AD28" s="200"/>
      <c r="AE28" s="199"/>
      <c r="AF28" s="200"/>
      <c r="AG28" s="201"/>
      <c r="AH28" s="202"/>
      <c r="AI28" s="203"/>
      <c r="AJ28" s="204">
        <f t="shared" si="3"/>
        <v>90</v>
      </c>
      <c r="AK28" s="188">
        <f>AJ28/'Anlage 1a'!AJ28*100</f>
        <v>32.258064516129032</v>
      </c>
    </row>
    <row r="29" spans="1:37" s="123" customFormat="1" ht="14.25" thickBot="1" x14ac:dyDescent="0.3">
      <c r="A29" s="205" t="s">
        <v>56</v>
      </c>
      <c r="B29" s="206"/>
      <c r="C29" s="207"/>
      <c r="D29" s="208"/>
      <c r="E29" s="209"/>
      <c r="F29" s="210"/>
      <c r="G29" s="209"/>
      <c r="H29" s="210"/>
      <c r="I29" s="209"/>
      <c r="J29" s="210"/>
      <c r="K29" s="211"/>
      <c r="L29" s="212"/>
      <c r="M29" s="213"/>
      <c r="N29" s="214">
        <v>10</v>
      </c>
      <c r="O29" s="215">
        <f>N29/'Anlage 1a'!N29*100</f>
        <v>10</v>
      </c>
      <c r="P29" s="216">
        <v>15</v>
      </c>
      <c r="Q29" s="215">
        <f>P29/'Anlage 1a'!P29*100</f>
        <v>14.018691588785046</v>
      </c>
      <c r="R29" s="216">
        <v>17</v>
      </c>
      <c r="S29" s="215">
        <f>R29/'Anlage 1a'!R29*100</f>
        <v>17</v>
      </c>
      <c r="T29" s="216">
        <v>9</v>
      </c>
      <c r="U29" s="215">
        <f>T29/'Anlage 1a'!T29*100</f>
        <v>8.9108910891089099</v>
      </c>
      <c r="V29" s="216">
        <v>12</v>
      </c>
      <c r="W29" s="215">
        <f>V29/'Anlage 1a'!V29*100</f>
        <v>10.16949152542373</v>
      </c>
      <c r="X29" s="216">
        <v>6</v>
      </c>
      <c r="Y29" s="215">
        <f>X29/'Anlage 1a'!X29*100</f>
        <v>5.6603773584905666</v>
      </c>
      <c r="Z29" s="217">
        <f t="shared" si="4"/>
        <v>69</v>
      </c>
      <c r="AA29" s="218">
        <f>Z29/'Anlage 1a'!Z29*100</f>
        <v>10.917721518987342</v>
      </c>
      <c r="AB29" s="216"/>
      <c r="AC29" s="219"/>
      <c r="AD29" s="216"/>
      <c r="AE29" s="219"/>
      <c r="AF29" s="216"/>
      <c r="AG29" s="220"/>
      <c r="AH29" s="221"/>
      <c r="AI29" s="222"/>
      <c r="AJ29" s="223">
        <f t="shared" si="3"/>
        <v>69</v>
      </c>
      <c r="AK29" s="218">
        <f>AJ29/'Anlage 1a'!AJ29*100</f>
        <v>10.917721518987342</v>
      </c>
    </row>
    <row r="30" spans="1:37" s="123" customFormat="1" ht="14.25" hidden="1" thickBot="1" x14ac:dyDescent="0.3">
      <c r="A30" s="662" t="s">
        <v>177</v>
      </c>
      <c r="B30" s="663"/>
      <c r="C30" s="664"/>
      <c r="D30" s="665"/>
      <c r="E30" s="666"/>
      <c r="F30" s="667"/>
      <c r="G30" s="666"/>
      <c r="H30" s="667"/>
      <c r="I30" s="666"/>
      <c r="J30" s="667"/>
      <c r="K30" s="668"/>
      <c r="L30" s="663"/>
      <c r="M30" s="664"/>
      <c r="N30" s="669"/>
      <c r="O30" s="670"/>
      <c r="P30" s="671"/>
      <c r="Q30" s="670"/>
      <c r="R30" s="671"/>
      <c r="S30" s="670"/>
      <c r="T30" s="671"/>
      <c r="U30" s="670"/>
      <c r="V30" s="671"/>
      <c r="W30" s="670"/>
      <c r="X30" s="671"/>
      <c r="Y30" s="670"/>
      <c r="Z30" s="672"/>
      <c r="AA30" s="673"/>
      <c r="AB30" s="671"/>
      <c r="AC30" s="670"/>
      <c r="AD30" s="671"/>
      <c r="AE30" s="670"/>
      <c r="AF30" s="671"/>
      <c r="AG30" s="674"/>
      <c r="AH30" s="672"/>
      <c r="AI30" s="673"/>
      <c r="AJ30" s="675"/>
      <c r="AK30" s="673"/>
    </row>
    <row r="31" spans="1:37" s="123" customFormat="1" ht="14.25" thickBot="1" x14ac:dyDescent="0.3">
      <c r="A31" s="231" t="s">
        <v>55</v>
      </c>
      <c r="B31" s="182"/>
      <c r="C31" s="183"/>
      <c r="D31" s="587"/>
      <c r="E31" s="840"/>
      <c r="F31" s="588"/>
      <c r="G31" s="840"/>
      <c r="H31" s="588"/>
      <c r="I31" s="840"/>
      <c r="J31" s="588"/>
      <c r="K31" s="841"/>
      <c r="L31" s="842"/>
      <c r="M31" s="843"/>
      <c r="N31" s="204">
        <f>SUM(N29:N30)</f>
        <v>10</v>
      </c>
      <c r="O31" s="185">
        <f>N31/'Anlage 1a'!N31*100</f>
        <v>10</v>
      </c>
      <c r="P31" s="204">
        <f>SUM(P29:P30)</f>
        <v>15</v>
      </c>
      <c r="Q31" s="185">
        <f>P31/'Anlage 1a'!P31*100</f>
        <v>14.018691588785046</v>
      </c>
      <c r="R31" s="204">
        <f>SUM(R29:R30)</f>
        <v>17</v>
      </c>
      <c r="S31" s="185">
        <f>R31/'Anlage 1a'!R31*100</f>
        <v>17</v>
      </c>
      <c r="T31" s="204">
        <f>SUM(T29:T30)</f>
        <v>9</v>
      </c>
      <c r="U31" s="185">
        <f>T31/'Anlage 1a'!T31*100</f>
        <v>8.9108910891089099</v>
      </c>
      <c r="V31" s="204">
        <f>SUM(V29:V30)</f>
        <v>12</v>
      </c>
      <c r="W31" s="185">
        <f>V31/'Anlage 1a'!V31*100</f>
        <v>10.16949152542373</v>
      </c>
      <c r="X31" s="204">
        <f>SUM(X29:X30)</f>
        <v>6</v>
      </c>
      <c r="Y31" s="185">
        <f>X31/'Anlage 1a'!X31*100</f>
        <v>5.6603773584905666</v>
      </c>
      <c r="Z31" s="184">
        <f t="shared" si="4"/>
        <v>69</v>
      </c>
      <c r="AA31" s="185">
        <f>Z31/'Anlage 1a'!Z31*100</f>
        <v>10.917721518987342</v>
      </c>
      <c r="AB31" s="200"/>
      <c r="AC31" s="199"/>
      <c r="AD31" s="200"/>
      <c r="AE31" s="199"/>
      <c r="AF31" s="200"/>
      <c r="AG31" s="201"/>
      <c r="AH31" s="202"/>
      <c r="AI31" s="203"/>
      <c r="AJ31" s="204">
        <f t="shared" si="3"/>
        <v>69</v>
      </c>
      <c r="AK31" s="188">
        <f>AJ31/'Anlage 1a'!AJ31*100</f>
        <v>10.917721518987342</v>
      </c>
    </row>
    <row r="32" spans="1:37" s="123" customFormat="1" x14ac:dyDescent="0.25">
      <c r="A32" s="205" t="s">
        <v>39</v>
      </c>
      <c r="B32" s="232"/>
      <c r="C32" s="233"/>
      <c r="D32" s="216"/>
      <c r="E32" s="219"/>
      <c r="F32" s="216"/>
      <c r="G32" s="219"/>
      <c r="H32" s="216"/>
      <c r="I32" s="219"/>
      <c r="J32" s="216"/>
      <c r="K32" s="219"/>
      <c r="L32" s="221"/>
      <c r="M32" s="222"/>
      <c r="N32" s="216">
        <v>7</v>
      </c>
      <c r="O32" s="215">
        <f>N32/'Anlage 1a'!N32*100</f>
        <v>15.555555555555555</v>
      </c>
      <c r="P32" s="216">
        <v>9</v>
      </c>
      <c r="Q32" s="215">
        <f>P32/'Anlage 1a'!P32*100</f>
        <v>14.285714285714285</v>
      </c>
      <c r="R32" s="216">
        <v>8</v>
      </c>
      <c r="S32" s="215">
        <f>R32/'Anlage 1a'!R32*100</f>
        <v>13.114754098360656</v>
      </c>
      <c r="T32" s="216">
        <v>14</v>
      </c>
      <c r="U32" s="215">
        <f>T32/'Anlage 1a'!T32*100</f>
        <v>20</v>
      </c>
      <c r="V32" s="216">
        <v>8</v>
      </c>
      <c r="W32" s="215">
        <f>V32/'Anlage 1a'!V32*100</f>
        <v>12.121212121212121</v>
      </c>
      <c r="X32" s="593"/>
      <c r="Y32" s="215"/>
      <c r="Z32" s="217">
        <f t="shared" si="4"/>
        <v>46</v>
      </c>
      <c r="AA32" s="218">
        <f>Z32/'Anlage 1a'!Z32*100</f>
        <v>15.081967213114755</v>
      </c>
      <c r="AB32" s="216">
        <v>7</v>
      </c>
      <c r="AC32" s="215">
        <f>AB32/'Anlage 1a'!AB32*100</f>
        <v>7.4468085106382977</v>
      </c>
      <c r="AD32" s="216">
        <v>11</v>
      </c>
      <c r="AE32" s="215">
        <f>AD32/'Anlage 1a'!AD32*100</f>
        <v>13.580246913580247</v>
      </c>
      <c r="AF32" s="216">
        <v>5</v>
      </c>
      <c r="AG32" s="215">
        <f>AF32/'Anlage 1a'!AF32*100</f>
        <v>6.0975609756097562</v>
      </c>
      <c r="AH32" s="152">
        <f>SUM(AB32,AD32,AF32)</f>
        <v>23</v>
      </c>
      <c r="AI32" s="218">
        <f>AH32/'Anlage 1a'!AH32*100</f>
        <v>8.9494163424124515</v>
      </c>
      <c r="AJ32" s="234">
        <f t="shared" si="3"/>
        <v>69</v>
      </c>
      <c r="AK32" s="218">
        <f>AJ32/'Anlage 1a'!AJ32*100</f>
        <v>12.277580071174377</v>
      </c>
    </row>
    <row r="33" spans="1:37" x14ac:dyDescent="0.25">
      <c r="A33" s="147" t="s">
        <v>40</v>
      </c>
      <c r="B33" s="148"/>
      <c r="C33" s="149"/>
      <c r="D33" s="150"/>
      <c r="E33" s="154"/>
      <c r="F33" s="150"/>
      <c r="G33" s="154"/>
      <c r="H33" s="150"/>
      <c r="I33" s="154"/>
      <c r="J33" s="150"/>
      <c r="K33" s="154"/>
      <c r="L33" s="155"/>
      <c r="M33" s="156"/>
      <c r="N33" s="150">
        <v>6</v>
      </c>
      <c r="O33" s="215">
        <f>N33/'Anlage 1a'!N33*100</f>
        <v>4.3165467625899279</v>
      </c>
      <c r="P33" s="150">
        <v>4</v>
      </c>
      <c r="Q33" s="215">
        <f>P33/'Anlage 1a'!P33*100</f>
        <v>2.666666666666667</v>
      </c>
      <c r="R33" s="150">
        <v>11</v>
      </c>
      <c r="S33" s="151">
        <f>R33/'Anlage 1a'!R33*100</f>
        <v>7.7464788732394361</v>
      </c>
      <c r="T33" s="150">
        <v>1</v>
      </c>
      <c r="U33" s="151">
        <f>T33/'Anlage 1a'!T33*100</f>
        <v>0.68027210884353739</v>
      </c>
      <c r="V33" s="150">
        <v>4</v>
      </c>
      <c r="W33" s="151">
        <f>V33/'Anlage 1a'!V33*100</f>
        <v>2.9197080291970803</v>
      </c>
      <c r="X33" s="585"/>
      <c r="Y33" s="215"/>
      <c r="Z33" s="217">
        <f t="shared" si="4"/>
        <v>26</v>
      </c>
      <c r="AA33" s="153">
        <f>Z33/'Anlage 1a'!Z33*100</f>
        <v>3.6363636363636362</v>
      </c>
      <c r="AB33" s="150">
        <v>4</v>
      </c>
      <c r="AC33" s="151">
        <f>AB33/'Anlage 1a'!AB33*100</f>
        <v>2.877697841726619</v>
      </c>
      <c r="AD33" s="150">
        <v>3</v>
      </c>
      <c r="AE33" s="151">
        <f>AD33/'Anlage 1a'!AD33*100</f>
        <v>1.7964071856287425</v>
      </c>
      <c r="AF33" s="150">
        <v>2</v>
      </c>
      <c r="AG33" s="151">
        <f>AF33/'Anlage 1a'!AF33*100</f>
        <v>1.5503875968992249</v>
      </c>
      <c r="AH33" s="152">
        <f>SUM(AB33,AD33,AF33)</f>
        <v>9</v>
      </c>
      <c r="AI33" s="153">
        <f>AH33/'Anlage 1a'!AH33*100</f>
        <v>2.0689655172413794</v>
      </c>
      <c r="AJ33" s="157">
        <f t="shared" si="3"/>
        <v>35</v>
      </c>
      <c r="AK33" s="153">
        <f>AJ33/'Anlage 1a'!AJ33*100</f>
        <v>3.0434782608695654</v>
      </c>
    </row>
    <row r="34" spans="1:37" x14ac:dyDescent="0.25">
      <c r="A34" s="147" t="s">
        <v>41</v>
      </c>
      <c r="B34" s="148"/>
      <c r="C34" s="149"/>
      <c r="D34" s="150"/>
      <c r="E34" s="154"/>
      <c r="F34" s="150"/>
      <c r="G34" s="154"/>
      <c r="H34" s="150"/>
      <c r="I34" s="154"/>
      <c r="J34" s="150"/>
      <c r="K34" s="154"/>
      <c r="L34" s="155"/>
      <c r="M34" s="156"/>
      <c r="N34" s="150">
        <v>3</v>
      </c>
      <c r="O34" s="151">
        <f>N34/'Anlage 1a'!N34*100</f>
        <v>2.7777777777777777</v>
      </c>
      <c r="P34" s="150">
        <v>7</v>
      </c>
      <c r="Q34" s="151">
        <f>P34/'Anlage 1a'!P34*100</f>
        <v>5.0359712230215825</v>
      </c>
      <c r="R34" s="150">
        <v>2</v>
      </c>
      <c r="S34" s="151">
        <f>R34/'Anlage 1a'!R34*100</f>
        <v>1.8518518518518516</v>
      </c>
      <c r="T34" s="150">
        <v>5</v>
      </c>
      <c r="U34" s="151">
        <f>T34/'Anlage 1a'!T34*100</f>
        <v>5.2631578947368416</v>
      </c>
      <c r="V34" s="150">
        <v>5</v>
      </c>
      <c r="W34" s="151">
        <f>V34/'Anlage 1a'!V34*100</f>
        <v>4.8543689320388346</v>
      </c>
      <c r="X34" s="585"/>
      <c r="Y34" s="215"/>
      <c r="Z34" s="152">
        <f t="shared" si="4"/>
        <v>22</v>
      </c>
      <c r="AA34" s="153">
        <f>Z34/'Anlage 1a'!Z34*100</f>
        <v>3.9783001808318263</v>
      </c>
      <c r="AB34" s="150">
        <v>4</v>
      </c>
      <c r="AC34" s="151">
        <f>AB34/'Anlage 1a'!AB34*100</f>
        <v>3.7735849056603774</v>
      </c>
      <c r="AD34" s="150">
        <v>1</v>
      </c>
      <c r="AE34" s="151">
        <f>AD34/'Anlage 1a'!AD34*100</f>
        <v>0.94339622641509435</v>
      </c>
      <c r="AF34" s="150">
        <v>1</v>
      </c>
      <c r="AG34" s="151">
        <f>AF34/'Anlage 1a'!AF34*100</f>
        <v>1.1235955056179776</v>
      </c>
      <c r="AH34" s="152">
        <f>SUM(AB34,AD34,AF34)</f>
        <v>6</v>
      </c>
      <c r="AI34" s="153">
        <f>AH34/'Anlage 1a'!AH34*100</f>
        <v>1.9933554817275747</v>
      </c>
      <c r="AJ34" s="234">
        <f t="shared" si="3"/>
        <v>28</v>
      </c>
      <c r="AK34" s="153">
        <f>AJ34/'Anlage 1a'!AJ34*100</f>
        <v>3.278688524590164</v>
      </c>
    </row>
    <row r="35" spans="1:37" ht="14.25" thickBot="1" x14ac:dyDescent="0.3">
      <c r="A35" s="147" t="s">
        <v>42</v>
      </c>
      <c r="B35" s="148"/>
      <c r="C35" s="149"/>
      <c r="D35" s="150"/>
      <c r="E35" s="154"/>
      <c r="F35" s="150"/>
      <c r="G35" s="154"/>
      <c r="H35" s="150"/>
      <c r="I35" s="154"/>
      <c r="J35" s="150"/>
      <c r="K35" s="154"/>
      <c r="L35" s="155"/>
      <c r="M35" s="156"/>
      <c r="N35" s="227">
        <v>2</v>
      </c>
      <c r="O35" s="226">
        <f>N35/'Anlage 1a'!N35*100</f>
        <v>2.7027027027027026</v>
      </c>
      <c r="P35" s="227">
        <v>4</v>
      </c>
      <c r="Q35" s="226">
        <f>P35/'Anlage 1a'!P35*100</f>
        <v>3.8095238095238098</v>
      </c>
      <c r="R35" s="227">
        <v>5</v>
      </c>
      <c r="S35" s="226">
        <f>R35/'Anlage 1a'!R35*100</f>
        <v>4.7619047619047619</v>
      </c>
      <c r="T35" s="227">
        <v>7</v>
      </c>
      <c r="U35" s="226">
        <f>T35/'Anlage 1a'!T35*100</f>
        <v>6.6037735849056602</v>
      </c>
      <c r="V35" s="227">
        <v>5</v>
      </c>
      <c r="W35" s="226">
        <f>V35/'Anlage 1a'!V35*100</f>
        <v>4.5871559633027523</v>
      </c>
      <c r="X35" s="597"/>
      <c r="Y35" s="215"/>
      <c r="Z35" s="152">
        <f t="shared" si="4"/>
        <v>23</v>
      </c>
      <c r="AA35" s="153">
        <f>Z35/'Anlage 1a'!Z35*100</f>
        <v>4.6092184368737472</v>
      </c>
      <c r="AB35" s="150">
        <v>2</v>
      </c>
      <c r="AC35" s="151">
        <f>AB35/'Anlage 1a'!AB35*100</f>
        <v>2.1052631578947367</v>
      </c>
      <c r="AD35" s="150">
        <v>1</v>
      </c>
      <c r="AE35" s="151">
        <f>AD35/'Anlage 1a'!AD35*100</f>
        <v>1.1111111111111112</v>
      </c>
      <c r="AF35" s="150">
        <v>1</v>
      </c>
      <c r="AG35" s="151">
        <f>AF35/'Anlage 1a'!AF35*100</f>
        <v>1.2987012987012987</v>
      </c>
      <c r="AH35" s="152">
        <f>SUM(AB35,AD35,AF35)</f>
        <v>4</v>
      </c>
      <c r="AI35" s="153">
        <f>AH35/'Anlage 1a'!AH35*100</f>
        <v>1.5267175572519083</v>
      </c>
      <c r="AJ35" s="157">
        <f t="shared" si="3"/>
        <v>27</v>
      </c>
      <c r="AK35" s="153">
        <f>AJ35/'Anlage 1a'!AJ35*100</f>
        <v>3.5479632063074904</v>
      </c>
    </row>
    <row r="36" spans="1:37" s="123" customFormat="1" ht="14.25" thickBot="1" x14ac:dyDescent="0.3">
      <c r="A36" s="198" t="s">
        <v>43</v>
      </c>
      <c r="B36" s="182"/>
      <c r="C36" s="183"/>
      <c r="D36" s="588"/>
      <c r="E36" s="840"/>
      <c r="F36" s="588"/>
      <c r="G36" s="840"/>
      <c r="H36" s="588"/>
      <c r="I36" s="840"/>
      <c r="J36" s="588"/>
      <c r="K36" s="840"/>
      <c r="L36" s="842"/>
      <c r="M36" s="842"/>
      <c r="N36" s="187">
        <f>SUM(N32:N35)</f>
        <v>18</v>
      </c>
      <c r="O36" s="185">
        <f>N36/'Anlage 1a'!N36*100</f>
        <v>4.918032786885246</v>
      </c>
      <c r="P36" s="184">
        <f>SUM(P32:P35)</f>
        <v>24</v>
      </c>
      <c r="Q36" s="185">
        <f>P36/'Anlage 1a'!P36*100</f>
        <v>5.2516411378555796</v>
      </c>
      <c r="R36" s="184">
        <f>SUM(R32:R35)</f>
        <v>26</v>
      </c>
      <c r="S36" s="185">
        <f>R36/'Anlage 1a'!R36*100</f>
        <v>6.25</v>
      </c>
      <c r="T36" s="184">
        <f>SUM(T32:T35)</f>
        <v>27</v>
      </c>
      <c r="U36" s="185">
        <f>T36/'Anlage 1a'!T36*100</f>
        <v>6.4593301435406705</v>
      </c>
      <c r="V36" s="184">
        <f>SUM(V32:V35)</f>
        <v>22</v>
      </c>
      <c r="W36" s="185">
        <f>V36/'Anlage 1a'!V36*100</f>
        <v>5.3012048192771086</v>
      </c>
      <c r="X36" s="184">
        <f>SUM(X32:X35)</f>
        <v>0</v>
      </c>
      <c r="Y36" s="188">
        <f>IF(X36=0,0,X36/'Anlage 1a'!X36*100)</f>
        <v>0</v>
      </c>
      <c r="Z36" s="187">
        <f>SUM(Z32:Z35)</f>
        <v>117</v>
      </c>
      <c r="AA36" s="188">
        <f>Z36/'Anlage 1a'!Z36*100</f>
        <v>5.6467181467181469</v>
      </c>
      <c r="AB36" s="184">
        <f>SUM(AB32:AB35)</f>
        <v>17</v>
      </c>
      <c r="AC36" s="185">
        <f>AB36/'Anlage 1a'!AB36*100</f>
        <v>3.9170506912442393</v>
      </c>
      <c r="AD36" s="184">
        <f>SUM(AD32:AD35)</f>
        <v>16</v>
      </c>
      <c r="AE36" s="185">
        <f>AD36/'Anlage 1a'!AD36*100</f>
        <v>3.6036036036036037</v>
      </c>
      <c r="AF36" s="184">
        <f>SUM(AF32:AF35)</f>
        <v>9</v>
      </c>
      <c r="AG36" s="185">
        <f>AF36/'Anlage 1a'!AF36*100</f>
        <v>2.3872679045092835</v>
      </c>
      <c r="AH36" s="187">
        <f>SUM(AH32:AH35)</f>
        <v>42</v>
      </c>
      <c r="AI36" s="188">
        <f>AH36/'Anlage 1a'!AH36*100</f>
        <v>3.3466135458167332</v>
      </c>
      <c r="AJ36" s="184">
        <f>SUM(AJ32:AJ35)</f>
        <v>159</v>
      </c>
      <c r="AK36" s="188">
        <f>AJ36/'Anlage 1a'!AJ36*100</f>
        <v>4.7790802524797114</v>
      </c>
    </row>
    <row r="37" spans="1:37" s="123" customFormat="1" x14ac:dyDescent="0.25">
      <c r="A37" s="147" t="s">
        <v>44</v>
      </c>
      <c r="B37" s="148"/>
      <c r="C37" s="149"/>
      <c r="D37" s="150"/>
      <c r="E37" s="154"/>
      <c r="F37" s="150"/>
      <c r="G37" s="154"/>
      <c r="H37" s="150"/>
      <c r="I37" s="154"/>
      <c r="J37" s="150"/>
      <c r="K37" s="154"/>
      <c r="L37" s="155"/>
      <c r="M37" s="156"/>
      <c r="N37" s="216">
        <v>29</v>
      </c>
      <c r="O37" s="215">
        <f>N37/'Anlage 1a'!N37*100</f>
        <v>21.167883211678831</v>
      </c>
      <c r="P37" s="216">
        <v>17</v>
      </c>
      <c r="Q37" s="215">
        <f>P37/'Anlage 1a'!P37*100</f>
        <v>11.643835616438356</v>
      </c>
      <c r="R37" s="216">
        <v>25</v>
      </c>
      <c r="S37" s="215">
        <f>R37/'Anlage 1a'!R37*100</f>
        <v>17.857142857142858</v>
      </c>
      <c r="T37" s="216">
        <v>16</v>
      </c>
      <c r="U37" s="215">
        <f>T37/'Anlage 1a'!T37*100</f>
        <v>10.95890410958904</v>
      </c>
      <c r="V37" s="216">
        <v>11</v>
      </c>
      <c r="W37" s="215">
        <f>V37/'Anlage 1a'!V37*100</f>
        <v>7.3825503355704702</v>
      </c>
      <c r="X37" s="216">
        <v>11</v>
      </c>
      <c r="Y37" s="151">
        <f>X37/'Anlage 1a'!X37*100</f>
        <v>10.576923076923077</v>
      </c>
      <c r="Z37" s="152">
        <f>SUM(N37,P37,R37,T37,V37,X37)</f>
        <v>109</v>
      </c>
      <c r="AA37" s="153">
        <f>Z37/'Anlage 1a'!Z37*100</f>
        <v>13.260340632603407</v>
      </c>
      <c r="AB37" s="150">
        <v>9</v>
      </c>
      <c r="AC37" s="151">
        <f>AB37/'Anlage 1a'!AB37*100</f>
        <v>11.111111111111111</v>
      </c>
      <c r="AD37" s="150">
        <v>3</v>
      </c>
      <c r="AE37" s="151">
        <f>AD37/'Anlage 1a'!AD37*100</f>
        <v>7.8947368421052628</v>
      </c>
      <c r="AF37" s="150">
        <v>7</v>
      </c>
      <c r="AG37" s="151">
        <f>AF37/'Anlage 1a'!AF37*100</f>
        <v>11.475409836065573</v>
      </c>
      <c r="AH37" s="152">
        <f>SUM(AB37,AD37,AF37)</f>
        <v>19</v>
      </c>
      <c r="AI37" s="153">
        <f>AH37/'Anlage 1a'!AH37*100</f>
        <v>10.555555555555555</v>
      </c>
      <c r="AJ37" s="157">
        <f>SUM(L37,Z37,AH37)</f>
        <v>128</v>
      </c>
      <c r="AK37" s="153">
        <f>AJ37/'Anlage 1a'!AJ37*100</f>
        <v>12.774451097804389</v>
      </c>
    </row>
    <row r="38" spans="1:37" x14ac:dyDescent="0.25">
      <c r="A38" s="147" t="s">
        <v>52</v>
      </c>
      <c r="B38" s="148"/>
      <c r="C38" s="149"/>
      <c r="D38" s="150"/>
      <c r="E38" s="154"/>
      <c r="F38" s="150"/>
      <c r="G38" s="154"/>
      <c r="H38" s="150"/>
      <c r="I38" s="154"/>
      <c r="J38" s="150"/>
      <c r="K38" s="154"/>
      <c r="L38" s="155"/>
      <c r="M38" s="156"/>
      <c r="N38" s="150">
        <v>10</v>
      </c>
      <c r="O38" s="151">
        <f>N38/'Anlage 1a'!N38*100</f>
        <v>7.2992700729926998</v>
      </c>
      <c r="P38" s="150">
        <v>10</v>
      </c>
      <c r="Q38" s="151">
        <f>P38/'Anlage 1a'!P38*100</f>
        <v>8.7719298245614024</v>
      </c>
      <c r="R38" s="150">
        <v>6</v>
      </c>
      <c r="S38" s="151">
        <f>R38/'Anlage 1a'!R38*100</f>
        <v>5.5045871559633035</v>
      </c>
      <c r="T38" s="150">
        <v>13</v>
      </c>
      <c r="U38" s="151">
        <f>T38/'Anlage 1a'!T38*100</f>
        <v>8.9655172413793096</v>
      </c>
      <c r="V38" s="150">
        <v>22</v>
      </c>
      <c r="W38" s="151">
        <f>V38/'Anlage 1a'!V38*100</f>
        <v>14.76510067114094</v>
      </c>
      <c r="X38" s="150">
        <v>4</v>
      </c>
      <c r="Y38" s="151">
        <f>X38/'Anlage 1a'!X38*100</f>
        <v>3.125</v>
      </c>
      <c r="Z38" s="152">
        <f>SUM(N38,P38,R38,T38,V38,X38)</f>
        <v>65</v>
      </c>
      <c r="AA38" s="153">
        <f>Z38/'Anlage 1a'!Z38*100</f>
        <v>8.3120204603580561</v>
      </c>
      <c r="AB38" s="150">
        <v>5</v>
      </c>
      <c r="AC38" s="151">
        <f>AB38/'Anlage 1a'!AB38*100</f>
        <v>8.7719298245614024</v>
      </c>
      <c r="AD38" s="150">
        <v>3</v>
      </c>
      <c r="AE38" s="151">
        <f>AD38/'Anlage 1a'!AD38*100</f>
        <v>4.918032786885246</v>
      </c>
      <c r="AF38" s="150">
        <v>2</v>
      </c>
      <c r="AG38" s="151">
        <f>AF38/'Anlage 1a'!AF38*100</f>
        <v>4</v>
      </c>
      <c r="AH38" s="152">
        <f>SUM(AB38,AD38,AF38)</f>
        <v>10</v>
      </c>
      <c r="AI38" s="153">
        <f>AH38/'Anlage 1a'!AH38*100</f>
        <v>5.9523809523809517</v>
      </c>
      <c r="AJ38" s="157">
        <f>SUM(L38,Z38,AH38)</f>
        <v>75</v>
      </c>
      <c r="AK38" s="153">
        <f>AJ38/'Anlage 1a'!AJ38*100</f>
        <v>7.8947368421052628</v>
      </c>
    </row>
    <row r="39" spans="1:37" ht="14.25" thickBot="1" x14ac:dyDescent="0.3">
      <c r="A39" s="147" t="s">
        <v>45</v>
      </c>
      <c r="B39" s="148"/>
      <c r="C39" s="149"/>
      <c r="D39" s="150"/>
      <c r="E39" s="154"/>
      <c r="F39" s="150"/>
      <c r="G39" s="154"/>
      <c r="H39" s="150"/>
      <c r="I39" s="154"/>
      <c r="J39" s="150"/>
      <c r="K39" s="154"/>
      <c r="L39" s="155"/>
      <c r="M39" s="156"/>
      <c r="N39" s="150">
        <v>10</v>
      </c>
      <c r="O39" s="151">
        <f>N39/'Anlage 1a'!N39*100</f>
        <v>8.5470085470085468</v>
      </c>
      <c r="P39" s="150">
        <v>9</v>
      </c>
      <c r="Q39" s="151">
        <f>P39/'Anlage 1a'!P39*100</f>
        <v>7.5</v>
      </c>
      <c r="R39" s="150">
        <v>3</v>
      </c>
      <c r="S39" s="151">
        <f>R39/'Anlage 1a'!R39*100</f>
        <v>2.5641025641025639</v>
      </c>
      <c r="T39" s="150">
        <v>3</v>
      </c>
      <c r="U39" s="151">
        <f>T39/'Anlage 1a'!T39*100</f>
        <v>2.5210084033613445</v>
      </c>
      <c r="V39" s="150">
        <v>8</v>
      </c>
      <c r="W39" s="151">
        <f>V39/'Anlage 1a'!V39*100</f>
        <v>6.8376068376068382</v>
      </c>
      <c r="X39" s="150">
        <v>4</v>
      </c>
      <c r="Y39" s="151">
        <f>X39/'Anlage 1a'!X39*100</f>
        <v>3.3333333333333335</v>
      </c>
      <c r="Z39" s="152">
        <f>SUM(N39,P39,R39,T39,V39,X39)</f>
        <v>37</v>
      </c>
      <c r="AA39" s="153">
        <f>Z39/'Anlage 1a'!Z39*100</f>
        <v>5.211267605633803</v>
      </c>
      <c r="AB39" s="150">
        <v>4</v>
      </c>
      <c r="AC39" s="151">
        <f>AB39/'Anlage 1a'!AB39*100</f>
        <v>4.4444444444444446</v>
      </c>
      <c r="AD39" s="150">
        <v>3</v>
      </c>
      <c r="AE39" s="151">
        <f>AD39/'Anlage 1a'!AD39*100</f>
        <v>3.3707865168539324</v>
      </c>
      <c r="AF39" s="150">
        <v>1</v>
      </c>
      <c r="AG39" s="151">
        <f>AF39/'Anlage 1a'!AF39*100</f>
        <v>1.2987012987012987</v>
      </c>
      <c r="AH39" s="152">
        <f>SUM(AB39,AD39,AF39)</f>
        <v>8</v>
      </c>
      <c r="AI39" s="153">
        <f>AH39/'Anlage 1a'!AH39*100</f>
        <v>3.125</v>
      </c>
      <c r="AJ39" s="157">
        <f>SUM(L39,Z39,AH39)</f>
        <v>45</v>
      </c>
      <c r="AK39" s="153">
        <f>AJ39/'Anlage 1a'!AJ39*100</f>
        <v>4.658385093167702</v>
      </c>
    </row>
    <row r="40" spans="1:37" s="123" customFormat="1" ht="14.25" thickBot="1" x14ac:dyDescent="0.3">
      <c r="A40" s="198" t="s">
        <v>46</v>
      </c>
      <c r="B40" s="182"/>
      <c r="C40" s="183"/>
      <c r="D40" s="588"/>
      <c r="E40" s="840"/>
      <c r="F40" s="588"/>
      <c r="G40" s="840"/>
      <c r="H40" s="588"/>
      <c r="I40" s="840"/>
      <c r="J40" s="588"/>
      <c r="K40" s="840"/>
      <c r="L40" s="842"/>
      <c r="M40" s="843"/>
      <c r="N40" s="184">
        <f>SUM(N37:N39)</f>
        <v>49</v>
      </c>
      <c r="O40" s="185">
        <f>N40/'Anlage 1a'!N40*100</f>
        <v>12.531969309462914</v>
      </c>
      <c r="P40" s="184">
        <f>SUM(P37:P39)</f>
        <v>36</v>
      </c>
      <c r="Q40" s="185">
        <f>P40/'Anlage 1a'!P40*100</f>
        <v>9.4736842105263168</v>
      </c>
      <c r="R40" s="184">
        <f>SUM(R37:R39)</f>
        <v>34</v>
      </c>
      <c r="S40" s="185">
        <f>R40/'Anlage 1a'!R40*100</f>
        <v>9.2896174863387984</v>
      </c>
      <c r="T40" s="184">
        <f>SUM(T37:T39)</f>
        <v>32</v>
      </c>
      <c r="U40" s="185">
        <f>T40/'Anlage 1a'!T40*100</f>
        <v>7.8048780487804876</v>
      </c>
      <c r="V40" s="184">
        <f>SUM(V37:V39)</f>
        <v>41</v>
      </c>
      <c r="W40" s="185">
        <f>V40/'Anlage 1a'!V40*100</f>
        <v>9.8795180722891569</v>
      </c>
      <c r="X40" s="184">
        <f>SUM(X37:X39)</f>
        <v>19</v>
      </c>
      <c r="Y40" s="185">
        <f>X40/'Anlage 1a'!X40*100</f>
        <v>5.3977272727272725</v>
      </c>
      <c r="Z40" s="187">
        <f>SUM(Z37:Z39)</f>
        <v>211</v>
      </c>
      <c r="AA40" s="188">
        <f>Z40/'Anlage 1a'!Z40*100</f>
        <v>9.1184096802074333</v>
      </c>
      <c r="AB40" s="184">
        <f>SUM(AB37:AB39)</f>
        <v>18</v>
      </c>
      <c r="AC40" s="185">
        <f>AB40/'Anlage 1a'!AB40*100</f>
        <v>7.8947368421052628</v>
      </c>
      <c r="AD40" s="184">
        <f>SUM(AD37:AD39)</f>
        <v>9</v>
      </c>
      <c r="AE40" s="185">
        <f>AD40/'Anlage 1a'!AD40*100</f>
        <v>4.7872340425531918</v>
      </c>
      <c r="AF40" s="184">
        <f>SUM(AF37:AF39)</f>
        <v>10</v>
      </c>
      <c r="AG40" s="185">
        <f>AF40/'Anlage 1a'!AF40*100</f>
        <v>5.3191489361702127</v>
      </c>
      <c r="AH40" s="187">
        <f>SUM(AH37:AH39)</f>
        <v>37</v>
      </c>
      <c r="AI40" s="188">
        <f>AH40/'Anlage 1a'!AH40*100</f>
        <v>6.1258278145695364</v>
      </c>
      <c r="AJ40" s="184">
        <f>SUM(AJ37:AJ39)</f>
        <v>248</v>
      </c>
      <c r="AK40" s="188">
        <f>AJ40/'Anlage 1a'!AJ40*100</f>
        <v>8.4989718985606579</v>
      </c>
    </row>
    <row r="41" spans="1:37" s="123" customFormat="1" ht="20.100000000000001" customHeight="1" thickBot="1" x14ac:dyDescent="0.3">
      <c r="A41" s="181" t="s">
        <v>47</v>
      </c>
      <c r="B41" s="182"/>
      <c r="C41" s="183"/>
      <c r="D41" s="191"/>
      <c r="E41" s="190"/>
      <c r="F41" s="191"/>
      <c r="G41" s="190"/>
      <c r="H41" s="191"/>
      <c r="I41" s="190"/>
      <c r="J41" s="191"/>
      <c r="K41" s="190"/>
      <c r="L41" s="193"/>
      <c r="M41" s="194"/>
      <c r="N41" s="184">
        <f>SUM(N28,N31,N36,N40)</f>
        <v>95</v>
      </c>
      <c r="O41" s="185">
        <f>N41/'Anlage 1a'!N41*100</f>
        <v>10.451045104510451</v>
      </c>
      <c r="P41" s="184">
        <f>SUM(P28,P31,P36,P40)</f>
        <v>94</v>
      </c>
      <c r="Q41" s="185">
        <f>P41/'Anlage 1a'!P41*100</f>
        <v>9.4949494949494948</v>
      </c>
      <c r="R41" s="184">
        <f>SUM(R28,R31,R36,R40)</f>
        <v>90</v>
      </c>
      <c r="S41" s="185">
        <f>R41/'Anlage 1a'!R41*100</f>
        <v>9.8039215686274517</v>
      </c>
      <c r="T41" s="184">
        <f>SUM(T28,T31,T36,T40)</f>
        <v>89</v>
      </c>
      <c r="U41" s="185">
        <f>T41/'Anlage 1a'!T41*100</f>
        <v>9.0816326530612255</v>
      </c>
      <c r="V41" s="184">
        <f>SUM(V28,V31,V36,V40)</f>
        <v>85</v>
      </c>
      <c r="W41" s="185">
        <f>V41/'Anlage 1a'!V41*100</f>
        <v>8.5427135678391952</v>
      </c>
      <c r="X41" s="184">
        <f>SUM(X28,X31,X36,X40)</f>
        <v>34</v>
      </c>
      <c r="Y41" s="185">
        <f>X41/'Anlage 1a'!X41*100</f>
        <v>6.7326732673267333</v>
      </c>
      <c r="Z41" s="235">
        <f>SUM(Z28,Z31,Z36,Z40)</f>
        <v>487</v>
      </c>
      <c r="AA41" s="236">
        <f>Z41/'Anlage 1a'!Z41*100</f>
        <v>9.1938833301868979</v>
      </c>
      <c r="AB41" s="191">
        <f>SUM(AB28,AB31,AB36,AB40)</f>
        <v>35</v>
      </c>
      <c r="AC41" s="185">
        <f>AB41/'Anlage 1a'!AB41*100</f>
        <v>5.287009063444108</v>
      </c>
      <c r="AD41" s="191">
        <f>SUM(AD28,AD31,AD36,AD40)</f>
        <v>25</v>
      </c>
      <c r="AE41" s="185">
        <f>AD41/'Anlage 1a'!AD41*100</f>
        <v>3.9556962025316458</v>
      </c>
      <c r="AF41" s="191">
        <f>SUM(AF28,AF31,AF36,AF40)</f>
        <v>19</v>
      </c>
      <c r="AG41" s="185">
        <f>AF41/'Anlage 1a'!AF41*100</f>
        <v>3.3628318584070795</v>
      </c>
      <c r="AH41" s="193">
        <f>SUM(AH28,AH31,AH36,AH40)</f>
        <v>79</v>
      </c>
      <c r="AI41" s="188">
        <f>AH41/'Anlage 1a'!AH41*100</f>
        <v>4.2495965572888652</v>
      </c>
      <c r="AJ41" s="184">
        <f>SUM(AJ28,AJ31,AJ36,AJ40)</f>
        <v>566</v>
      </c>
      <c r="AK41" s="188">
        <f>AJ41/'Anlage 1a'!AJ41*100</f>
        <v>7.9094466182224714</v>
      </c>
    </row>
    <row r="42" spans="1:37" s="123" customFormat="1" hidden="1" x14ac:dyDescent="0.25">
      <c r="A42" s="676" t="s">
        <v>175</v>
      </c>
      <c r="B42" s="677"/>
      <c r="C42" s="678"/>
      <c r="D42" s="679"/>
      <c r="E42" s="680"/>
      <c r="F42" s="681"/>
      <c r="G42" s="680"/>
      <c r="H42" s="681"/>
      <c r="I42" s="680"/>
      <c r="J42" s="681"/>
      <c r="K42" s="682"/>
      <c r="L42" s="683"/>
      <c r="M42" s="684"/>
      <c r="N42" s="683"/>
      <c r="O42" s="680"/>
      <c r="P42" s="681"/>
      <c r="Q42" s="680"/>
      <c r="R42" s="681"/>
      <c r="S42" s="680"/>
      <c r="T42" s="681"/>
      <c r="U42" s="680"/>
      <c r="V42" s="681"/>
      <c r="W42" s="680"/>
      <c r="X42" s="681"/>
      <c r="Y42" s="685"/>
      <c r="Z42" s="683"/>
      <c r="AA42" s="684"/>
      <c r="AB42" s="686"/>
      <c r="AC42" s="687"/>
      <c r="AD42" s="688"/>
      <c r="AE42" s="687"/>
      <c r="AF42" s="688"/>
      <c r="AG42" s="687"/>
      <c r="AH42" s="689"/>
      <c r="AI42" s="690"/>
      <c r="AJ42" s="679"/>
      <c r="AK42" s="684"/>
    </row>
    <row r="43" spans="1:37" s="123" customFormat="1" ht="14.25" hidden="1" thickBot="1" x14ac:dyDescent="0.3">
      <c r="A43" s="691" t="s">
        <v>176</v>
      </c>
      <c r="B43" s="692"/>
      <c r="C43" s="693"/>
      <c r="D43" s="694"/>
      <c r="E43" s="695"/>
      <c r="F43" s="696"/>
      <c r="G43" s="695"/>
      <c r="H43" s="696"/>
      <c r="I43" s="695"/>
      <c r="J43" s="696"/>
      <c r="K43" s="682"/>
      <c r="L43" s="692"/>
      <c r="M43" s="697"/>
      <c r="N43" s="692"/>
      <c r="O43" s="695"/>
      <c r="P43" s="696"/>
      <c r="Q43" s="695"/>
      <c r="R43" s="696"/>
      <c r="S43" s="695"/>
      <c r="T43" s="696"/>
      <c r="U43" s="695"/>
      <c r="V43" s="696"/>
      <c r="W43" s="695"/>
      <c r="X43" s="696"/>
      <c r="Y43" s="698"/>
      <c r="Z43" s="692"/>
      <c r="AA43" s="699"/>
      <c r="AB43" s="700"/>
      <c r="AC43" s="701"/>
      <c r="AD43" s="702"/>
      <c r="AE43" s="701"/>
      <c r="AF43" s="702"/>
      <c r="AG43" s="701"/>
      <c r="AH43" s="703"/>
      <c r="AI43" s="704"/>
      <c r="AJ43" s="694"/>
      <c r="AK43" s="699"/>
    </row>
    <row r="44" spans="1:37" s="123" customFormat="1" ht="14.25" hidden="1" thickBot="1" x14ac:dyDescent="0.3">
      <c r="A44" s="705" t="s">
        <v>178</v>
      </c>
      <c r="B44" s="706"/>
      <c r="C44" s="707"/>
      <c r="D44" s="708"/>
      <c r="E44" s="709"/>
      <c r="F44" s="710"/>
      <c r="G44" s="709"/>
      <c r="H44" s="710"/>
      <c r="I44" s="709"/>
      <c r="J44" s="710"/>
      <c r="K44" s="709"/>
      <c r="L44" s="706"/>
      <c r="M44" s="711"/>
      <c r="N44" s="710"/>
      <c r="O44" s="709"/>
      <c r="P44" s="710"/>
      <c r="Q44" s="709"/>
      <c r="R44" s="710"/>
      <c r="S44" s="709"/>
      <c r="T44" s="710"/>
      <c r="U44" s="709"/>
      <c r="V44" s="710"/>
      <c r="W44" s="709"/>
      <c r="X44" s="710"/>
      <c r="Y44" s="709"/>
      <c r="Z44" s="706"/>
      <c r="AA44" s="711"/>
      <c r="AB44" s="710"/>
      <c r="AC44" s="709"/>
      <c r="AD44" s="710"/>
      <c r="AE44" s="709"/>
      <c r="AF44" s="710"/>
      <c r="AG44" s="709"/>
      <c r="AH44" s="712"/>
      <c r="AI44" s="713"/>
      <c r="AJ44" s="706"/>
      <c r="AK44" s="711"/>
    </row>
    <row r="45" spans="1:37" s="123" customFormat="1" ht="21" customHeight="1" thickBot="1" x14ac:dyDescent="0.3">
      <c r="A45" s="244" t="s">
        <v>48</v>
      </c>
      <c r="B45" s="245"/>
      <c r="C45" s="183"/>
      <c r="D45" s="246">
        <f>SUM(D26,D44)</f>
        <v>115</v>
      </c>
      <c r="E45" s="185">
        <f>D45/'Anlage 1a'!D45*100</f>
        <v>13.690476190476192</v>
      </c>
      <c r="F45" s="246">
        <f>SUM(F26,F44)</f>
        <v>151</v>
      </c>
      <c r="G45" s="185">
        <f>F45/'Anlage 1a'!F45*100</f>
        <v>16.201716738197426</v>
      </c>
      <c r="H45" s="246">
        <f>SUM(H26,H44)</f>
        <v>129</v>
      </c>
      <c r="I45" s="185">
        <f>H45/'Anlage 1a'!H45*100</f>
        <v>14.625850340136054</v>
      </c>
      <c r="J45" s="246">
        <f>SUM(J26,J44)</f>
        <v>162</v>
      </c>
      <c r="K45" s="185">
        <f>J45/'Anlage 1a'!J45*100</f>
        <v>18.367346938775512</v>
      </c>
      <c r="L45" s="247">
        <f>SUM(L26,L44)</f>
        <v>557</v>
      </c>
      <c r="M45" s="188">
        <f>L45/'Anlage 1a'!L45*100</f>
        <v>15.752262443438914</v>
      </c>
      <c r="N45" s="246">
        <f>SUM(N25,N41,N44)</f>
        <v>95</v>
      </c>
      <c r="O45" s="185">
        <f>N45/'Anlage 1a'!N45*100</f>
        <v>10.451045104510451</v>
      </c>
      <c r="P45" s="184">
        <f>SUM(P25,P41,P44)</f>
        <v>94</v>
      </c>
      <c r="Q45" s="185">
        <f>P45/'Anlage 1a'!P45*100</f>
        <v>9.4949494949494948</v>
      </c>
      <c r="R45" s="184">
        <f>SUM(R25,R41,R44)</f>
        <v>90</v>
      </c>
      <c r="S45" s="185">
        <f>R45/'Anlage 1a'!R45*100</f>
        <v>9.8039215686274517</v>
      </c>
      <c r="T45" s="184">
        <f>SUM(T25,T41,T44)</f>
        <v>89</v>
      </c>
      <c r="U45" s="185">
        <f>T45/'Anlage 1a'!T45*100</f>
        <v>9.0816326530612255</v>
      </c>
      <c r="V45" s="184">
        <f>SUM(V25,V41,V44)</f>
        <v>85</v>
      </c>
      <c r="W45" s="185">
        <f>V45/'Anlage 1a'!V45*100</f>
        <v>8.5427135678391952</v>
      </c>
      <c r="X45" s="184">
        <f>SUM(X25,X41,X44)</f>
        <v>34</v>
      </c>
      <c r="Y45" s="185">
        <f>X45/'Anlage 1a'!X45*100</f>
        <v>6.7326732673267333</v>
      </c>
      <c r="Z45" s="187">
        <f>SUM(Z25,Z41,Z44)</f>
        <v>487</v>
      </c>
      <c r="AA45" s="188">
        <f>Z45/'Anlage 1a'!Z45*100</f>
        <v>9.1938833301868979</v>
      </c>
      <c r="AB45" s="191">
        <f>SUM(AB25,AB41,AB44)</f>
        <v>35</v>
      </c>
      <c r="AC45" s="185">
        <f>AB45/'Anlage 1a'!AB45*100</f>
        <v>5.287009063444108</v>
      </c>
      <c r="AD45" s="191">
        <f>SUM(AD25,AD41,AD44)</f>
        <v>25</v>
      </c>
      <c r="AE45" s="185">
        <f>AD45/'Anlage 1a'!AD45*100</f>
        <v>3.9556962025316458</v>
      </c>
      <c r="AF45" s="191">
        <f>SUM(AF25,AF41,AF44)</f>
        <v>19</v>
      </c>
      <c r="AG45" s="185">
        <f>AF45/'Anlage 1a'!AF45*100</f>
        <v>3.3628318584070795</v>
      </c>
      <c r="AH45" s="193">
        <f>SUM(AH25,AH41,AH44)</f>
        <v>79</v>
      </c>
      <c r="AI45" s="188">
        <f>AH45/'Anlage 1a'!AH45*100</f>
        <v>4.2495965572888652</v>
      </c>
      <c r="AJ45" s="246">
        <f>SUM(AJ26,AJ41,AJ44)</f>
        <v>1123</v>
      </c>
      <c r="AK45" s="188">
        <f>AJ45/'Anlage 1a'!AJ45*100</f>
        <v>10.503179947624391</v>
      </c>
    </row>
    <row r="46" spans="1:37" s="123" customFormat="1" ht="20.100000000000001" customHeight="1" x14ac:dyDescent="0.25">
      <c r="A46" s="3"/>
      <c r="B46" s="3"/>
      <c r="C46" s="3"/>
      <c r="D46" s="3"/>
      <c r="E46" s="131"/>
      <c r="F46" s="3"/>
      <c r="G46" s="131"/>
      <c r="H46" s="3"/>
      <c r="I46" s="131"/>
      <c r="J46" s="3"/>
      <c r="K46" s="131"/>
      <c r="L46" s="3"/>
      <c r="M46" s="131"/>
      <c r="N46" s="3"/>
      <c r="O46" s="131"/>
      <c r="P46" s="3"/>
      <c r="Q46" s="131"/>
      <c r="R46" s="3"/>
      <c r="S46" s="131"/>
      <c r="T46" s="3"/>
      <c r="U46" s="131"/>
      <c r="V46" s="3"/>
      <c r="W46" s="131"/>
      <c r="Y46" s="131"/>
      <c r="Z46" s="3"/>
      <c r="AA46" s="131"/>
      <c r="AB46" s="3"/>
      <c r="AC46" s="131"/>
      <c r="AD46" s="3"/>
      <c r="AE46" s="131"/>
      <c r="AF46" s="3"/>
      <c r="AG46" s="131"/>
      <c r="AH46" s="3"/>
      <c r="AI46" s="131"/>
      <c r="AJ46" s="3"/>
      <c r="AK46" s="131"/>
    </row>
    <row r="47" spans="1:37" x14ac:dyDescent="0.25">
      <c r="A47" s="123" t="s">
        <v>298</v>
      </c>
      <c r="B47" s="123"/>
      <c r="C47" s="123"/>
      <c r="D47" s="123"/>
      <c r="E47" s="248"/>
      <c r="F47" s="123"/>
      <c r="G47" s="248"/>
      <c r="H47" s="123"/>
      <c r="I47" s="248"/>
      <c r="J47" s="123"/>
      <c r="K47" s="248"/>
      <c r="L47" s="123"/>
      <c r="M47" s="248"/>
      <c r="N47" s="123"/>
      <c r="O47" s="248"/>
      <c r="P47" s="123"/>
      <c r="Q47" s="248"/>
      <c r="R47" s="123"/>
    </row>
    <row r="48" spans="1:37" x14ac:dyDescent="0.25">
      <c r="A48" s="3" t="s">
        <v>53</v>
      </c>
    </row>
    <row r="49" spans="1:3" x14ac:dyDescent="0.25">
      <c r="A49" s="9" t="s">
        <v>204</v>
      </c>
      <c r="B49" s="9"/>
      <c r="C49" s="9"/>
    </row>
  </sheetData>
  <sheetProtection formatCells="0" formatColumns="0" formatRows="0" insertColumns="0" insertRows="0" insertHyperlinks="0" deleteColumns="0" deleteRows="0" sort="0" autoFilter="0" pivotTables="0"/>
  <customSheetViews>
    <customSheetView guid="{0224233B-564D-4BBC-A6B2-E639E6D2CFB3}" showPageBreaks="1" fitToPage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scale="65" orientation="landscape" horizontalDpi="300" verticalDpi="300" r:id="rId1"/>
      <headerFooter alignWithMargins="0">
        <oddHeader>&amp;LFachbereich 9&amp;C&amp;A&amp;ROktober   2009</oddHeader>
        <oddFooter>&amp;C&amp;Z&amp;F&amp;RSeite &amp;P</oddFooter>
      </headerFooter>
    </customSheetView>
  </customSheetViews>
  <mergeCells count="2">
    <mergeCell ref="B3:C3"/>
    <mergeCell ref="A1:AK1"/>
  </mergeCells>
  <phoneticPr fontId="2" type="noConversion"/>
  <hyperlinks>
    <hyperlink ref="A49" location="Übersicht!A1" display="zurück zur Übersicht!"/>
  </hyperlinks>
  <printOptions horizontalCentered="1" verticalCentered="1"/>
  <pageMargins left="0.39370078740157483" right="0.39370078740157483" top="0.98425196850393704" bottom="0.39370078740157483" header="0.78740157480314965" footer="0"/>
  <pageSetup paperSize="9" scale="65" orientation="landscape" horizontalDpi="300" verticalDpi="300" r:id="rId2"/>
  <headerFooter alignWithMargins="0">
    <oddHeader>&amp;L&amp;"PT Sans,Standard"Fachbereich 9&amp;R&amp;"PT Sans,Standard"&amp;A</oddHeader>
    <oddFooter>&amp;C&amp;"PT Sans,Standard"Seite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view="pageLayout" zoomScaleNormal="100" zoomScaleSheetLayoutView="100" workbookViewId="0">
      <selection activeCell="O18" sqref="O18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135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136</v>
      </c>
      <c r="B5" s="412" t="s">
        <v>102</v>
      </c>
      <c r="C5" s="412" t="s">
        <v>103</v>
      </c>
      <c r="D5" s="412" t="s">
        <v>104</v>
      </c>
      <c r="E5" s="413" t="s">
        <v>105</v>
      </c>
      <c r="F5" s="414" t="s">
        <v>106</v>
      </c>
      <c r="G5" s="415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14.25" thickBot="1" x14ac:dyDescent="0.3">
      <c r="A6" s="446" t="s">
        <v>36</v>
      </c>
      <c r="B6" s="581">
        <v>0</v>
      </c>
      <c r="C6" s="581">
        <v>0</v>
      </c>
      <c r="D6" s="581">
        <v>0</v>
      </c>
      <c r="E6" s="582">
        <v>0</v>
      </c>
      <c r="F6" s="583">
        <f>SUM(B6:E6)</f>
        <v>0</v>
      </c>
      <c r="G6" s="582">
        <v>0</v>
      </c>
      <c r="H6" s="599">
        <f t="shared" ref="H6:H20" si="0">SUM(F6:G6)</f>
        <v>0</v>
      </c>
      <c r="I6" s="581">
        <v>0</v>
      </c>
      <c r="J6" s="585">
        <v>0</v>
      </c>
      <c r="K6" s="585">
        <v>0</v>
      </c>
      <c r="L6" s="585">
        <v>0</v>
      </c>
      <c r="M6" s="586">
        <f>SUM(H6,I6,J6,K6,L6)</f>
        <v>0</v>
      </c>
      <c r="N6" s="585">
        <v>0</v>
      </c>
      <c r="O6" s="586">
        <f>SUM(M6,N6)</f>
        <v>0</v>
      </c>
    </row>
    <row r="7" spans="1:17" ht="14.25" thickBot="1" x14ac:dyDescent="0.3">
      <c r="A7" s="339" t="s">
        <v>38</v>
      </c>
      <c r="B7" s="587">
        <f t="shared" ref="B7:G7" si="1">SUM(B6:B6)</f>
        <v>0</v>
      </c>
      <c r="C7" s="588">
        <f t="shared" si="1"/>
        <v>0</v>
      </c>
      <c r="D7" s="588">
        <f t="shared" si="1"/>
        <v>0</v>
      </c>
      <c r="E7" s="589">
        <f t="shared" si="1"/>
        <v>0</v>
      </c>
      <c r="F7" s="590">
        <f t="shared" si="1"/>
        <v>0</v>
      </c>
      <c r="G7" s="600">
        <f t="shared" si="1"/>
        <v>0</v>
      </c>
      <c r="H7" s="590">
        <f t="shared" si="0"/>
        <v>0</v>
      </c>
      <c r="I7" s="587">
        <f t="shared" ref="I7:O7" si="2">SUM(I6:I6)</f>
        <v>0</v>
      </c>
      <c r="J7" s="588">
        <f t="shared" si="2"/>
        <v>0</v>
      </c>
      <c r="K7" s="588">
        <f t="shared" si="2"/>
        <v>0</v>
      </c>
      <c r="L7" s="588">
        <f t="shared" si="2"/>
        <v>0</v>
      </c>
      <c r="M7" s="590">
        <f t="shared" si="2"/>
        <v>0</v>
      </c>
      <c r="N7" s="588">
        <f t="shared" si="2"/>
        <v>0</v>
      </c>
      <c r="O7" s="590">
        <f t="shared" si="2"/>
        <v>0</v>
      </c>
    </row>
    <row r="8" spans="1:17" ht="14.25" thickBot="1" x14ac:dyDescent="0.3">
      <c r="A8" s="205" t="s">
        <v>56</v>
      </c>
      <c r="B8" s="591">
        <v>0</v>
      </c>
      <c r="C8" s="591">
        <v>0</v>
      </c>
      <c r="D8" s="591">
        <v>0</v>
      </c>
      <c r="E8" s="592">
        <v>0</v>
      </c>
      <c r="F8" s="583">
        <f>SUM(B8:E8)</f>
        <v>0</v>
      </c>
      <c r="G8" s="592">
        <v>0</v>
      </c>
      <c r="H8" s="594">
        <f t="shared" si="0"/>
        <v>0</v>
      </c>
      <c r="I8" s="591">
        <v>0</v>
      </c>
      <c r="J8" s="593">
        <v>0</v>
      </c>
      <c r="K8" s="593">
        <v>0</v>
      </c>
      <c r="L8" s="593">
        <v>0</v>
      </c>
      <c r="M8" s="594">
        <f>SUM(H8,I8,J8,K8,L8)</f>
        <v>0</v>
      </c>
      <c r="N8" s="593">
        <v>0</v>
      </c>
      <c r="O8" s="594">
        <f>SUM(M8,N8)</f>
        <v>0</v>
      </c>
    </row>
    <row r="9" spans="1:17" ht="14.25" hidden="1" thickBot="1" x14ac:dyDescent="0.3">
      <c r="A9" s="662" t="s">
        <v>177</v>
      </c>
      <c r="B9" s="669"/>
      <c r="C9" s="669"/>
      <c r="D9" s="669"/>
      <c r="E9" s="816"/>
      <c r="F9" s="805"/>
      <c r="G9" s="816"/>
      <c r="H9" s="817"/>
      <c r="I9" s="669"/>
      <c r="J9" s="671"/>
      <c r="K9" s="671"/>
      <c r="L9" s="671"/>
      <c r="M9" s="817"/>
      <c r="N9" s="671"/>
      <c r="O9" s="817"/>
    </row>
    <row r="10" spans="1:17" ht="16.5" customHeight="1" thickBot="1" x14ac:dyDescent="0.3">
      <c r="A10" s="318" t="s">
        <v>55</v>
      </c>
      <c r="B10" s="587">
        <f t="shared" ref="B10:G10" si="3">SUM(B8:B9)</f>
        <v>0</v>
      </c>
      <c r="C10" s="588">
        <f t="shared" si="3"/>
        <v>0</v>
      </c>
      <c r="D10" s="588">
        <f t="shared" si="3"/>
        <v>0</v>
      </c>
      <c r="E10" s="589">
        <f t="shared" si="3"/>
        <v>0</v>
      </c>
      <c r="F10" s="590">
        <f t="shared" si="3"/>
        <v>0</v>
      </c>
      <c r="G10" s="600">
        <f t="shared" si="3"/>
        <v>0</v>
      </c>
      <c r="H10" s="590">
        <f t="shared" si="0"/>
        <v>0</v>
      </c>
      <c r="I10" s="587">
        <f t="shared" ref="I10:O10" si="4">SUM(I8:I9)</f>
        <v>0</v>
      </c>
      <c r="J10" s="588">
        <f t="shared" si="4"/>
        <v>0</v>
      </c>
      <c r="K10" s="588">
        <f t="shared" si="4"/>
        <v>0</v>
      </c>
      <c r="L10" s="588">
        <f t="shared" si="4"/>
        <v>0</v>
      </c>
      <c r="M10" s="590">
        <f t="shared" si="4"/>
        <v>0</v>
      </c>
      <c r="N10" s="588">
        <f t="shared" si="4"/>
        <v>0</v>
      </c>
      <c r="O10" s="590">
        <f t="shared" si="4"/>
        <v>0</v>
      </c>
    </row>
    <row r="11" spans="1:17" x14ac:dyDescent="0.25">
      <c r="A11" s="448" t="s">
        <v>39</v>
      </c>
      <c r="B11" s="214">
        <v>2</v>
      </c>
      <c r="C11" s="216">
        <v>4</v>
      </c>
      <c r="D11" s="216">
        <v>2</v>
      </c>
      <c r="E11" s="421">
        <v>2</v>
      </c>
      <c r="F11" s="328">
        <f>SUM(B11:E11)</f>
        <v>10</v>
      </c>
      <c r="G11" s="447">
        <v>0</v>
      </c>
      <c r="H11" s="398">
        <f t="shared" si="0"/>
        <v>10</v>
      </c>
      <c r="I11" s="214">
        <v>10</v>
      </c>
      <c r="J11" s="216">
        <v>0</v>
      </c>
      <c r="K11" s="216">
        <v>0</v>
      </c>
      <c r="L11" s="216">
        <v>0</v>
      </c>
      <c r="M11" s="398">
        <f>SUM(H11,I11,J11,K11,L11)</f>
        <v>20</v>
      </c>
      <c r="N11" s="216">
        <v>4</v>
      </c>
      <c r="O11" s="398">
        <f>SUM(M11,N11)</f>
        <v>24</v>
      </c>
    </row>
    <row r="12" spans="1:17" x14ac:dyDescent="0.25">
      <c r="A12" s="331" t="s">
        <v>40</v>
      </c>
      <c r="B12" s="197">
        <v>3</v>
      </c>
      <c r="C12" s="150">
        <v>3</v>
      </c>
      <c r="D12" s="150">
        <v>4</v>
      </c>
      <c r="E12" s="332">
        <v>4</v>
      </c>
      <c r="F12" s="328">
        <f>SUM(B12:E12)</f>
        <v>14</v>
      </c>
      <c r="G12" s="395">
        <v>0</v>
      </c>
      <c r="H12" s="335">
        <f t="shared" si="0"/>
        <v>14</v>
      </c>
      <c r="I12" s="197">
        <v>6</v>
      </c>
      <c r="J12" s="150">
        <v>3</v>
      </c>
      <c r="K12" s="150">
        <v>2</v>
      </c>
      <c r="L12" s="150">
        <v>0</v>
      </c>
      <c r="M12" s="335">
        <f>SUM(H12,I12,J12,K12,L12)</f>
        <v>25</v>
      </c>
      <c r="N12" s="150">
        <v>4</v>
      </c>
      <c r="O12" s="335">
        <f>SUM(M12,N12)</f>
        <v>29</v>
      </c>
    </row>
    <row r="13" spans="1:17" x14ac:dyDescent="0.25">
      <c r="A13" s="331" t="s">
        <v>41</v>
      </c>
      <c r="B13" s="197">
        <v>2</v>
      </c>
      <c r="C13" s="150">
        <v>0</v>
      </c>
      <c r="D13" s="150">
        <v>6</v>
      </c>
      <c r="E13" s="332">
        <v>0</v>
      </c>
      <c r="F13" s="328">
        <f>SUM(B13:E13)</f>
        <v>8</v>
      </c>
      <c r="G13" s="395">
        <v>1</v>
      </c>
      <c r="H13" s="335">
        <f t="shared" si="0"/>
        <v>9</v>
      </c>
      <c r="I13" s="197">
        <v>3</v>
      </c>
      <c r="J13" s="150">
        <v>0</v>
      </c>
      <c r="K13" s="150">
        <v>0</v>
      </c>
      <c r="L13" s="150">
        <v>0</v>
      </c>
      <c r="M13" s="335">
        <f>SUM(H13,I13,J13,K13,L13)</f>
        <v>12</v>
      </c>
      <c r="N13" s="150">
        <v>1</v>
      </c>
      <c r="O13" s="335">
        <f>SUM(M13,N13)</f>
        <v>13</v>
      </c>
    </row>
    <row r="14" spans="1:17" ht="14.25" thickBot="1" x14ac:dyDescent="0.3">
      <c r="A14" s="449" t="s">
        <v>42</v>
      </c>
      <c r="B14" s="225">
        <v>0</v>
      </c>
      <c r="C14" s="227">
        <v>2</v>
      </c>
      <c r="D14" s="227">
        <v>0</v>
      </c>
      <c r="E14" s="336">
        <v>0</v>
      </c>
      <c r="F14" s="328">
        <f>SUM(B14:E14)</f>
        <v>2</v>
      </c>
      <c r="G14" s="402">
        <v>0</v>
      </c>
      <c r="H14" s="397">
        <f t="shared" si="0"/>
        <v>2</v>
      </c>
      <c r="I14" s="225">
        <v>1</v>
      </c>
      <c r="J14" s="227">
        <v>4</v>
      </c>
      <c r="K14" s="227">
        <v>9</v>
      </c>
      <c r="L14" s="227">
        <v>1</v>
      </c>
      <c r="M14" s="397">
        <f>SUM(H14,I14,J14,K14,L14)</f>
        <v>17</v>
      </c>
      <c r="N14" s="227">
        <v>2</v>
      </c>
      <c r="O14" s="397">
        <f>SUM(M14,N14)</f>
        <v>19</v>
      </c>
    </row>
    <row r="15" spans="1:17" ht="18.75" customHeight="1" thickBot="1" x14ac:dyDescent="0.3">
      <c r="A15" s="339" t="s">
        <v>43</v>
      </c>
      <c r="B15" s="204">
        <f t="shared" ref="B15:G15" si="5">SUM(B11:B14)</f>
        <v>7</v>
      </c>
      <c r="C15" s="184">
        <f t="shared" si="5"/>
        <v>9</v>
      </c>
      <c r="D15" s="184">
        <f t="shared" si="5"/>
        <v>12</v>
      </c>
      <c r="E15" s="249">
        <f t="shared" si="5"/>
        <v>6</v>
      </c>
      <c r="F15" s="319">
        <f t="shared" si="5"/>
        <v>34</v>
      </c>
      <c r="G15" s="337">
        <f t="shared" si="5"/>
        <v>1</v>
      </c>
      <c r="H15" s="319">
        <f t="shared" si="0"/>
        <v>35</v>
      </c>
      <c r="I15" s="204">
        <f t="shared" ref="I15:O15" si="6">SUM(I11:I14)</f>
        <v>20</v>
      </c>
      <c r="J15" s="184">
        <f t="shared" si="6"/>
        <v>7</v>
      </c>
      <c r="K15" s="184">
        <f t="shared" si="6"/>
        <v>11</v>
      </c>
      <c r="L15" s="184">
        <f t="shared" si="6"/>
        <v>1</v>
      </c>
      <c r="M15" s="319">
        <f t="shared" si="6"/>
        <v>74</v>
      </c>
      <c r="N15" s="184">
        <f t="shared" si="6"/>
        <v>11</v>
      </c>
      <c r="O15" s="319">
        <f t="shared" si="6"/>
        <v>85</v>
      </c>
    </row>
    <row r="16" spans="1:17" x14ac:dyDescent="0.25">
      <c r="A16" s="448" t="s">
        <v>44</v>
      </c>
      <c r="B16" s="214">
        <v>10</v>
      </c>
      <c r="C16" s="216">
        <v>0</v>
      </c>
      <c r="D16" s="216">
        <v>8</v>
      </c>
      <c r="E16" s="421">
        <v>0</v>
      </c>
      <c r="F16" s="328">
        <f>SUM(B16:E16)</f>
        <v>18</v>
      </c>
      <c r="G16" s="447">
        <v>1</v>
      </c>
      <c r="H16" s="398">
        <f t="shared" si="0"/>
        <v>19</v>
      </c>
      <c r="I16" s="214">
        <v>0</v>
      </c>
      <c r="J16" s="216">
        <v>0</v>
      </c>
      <c r="K16" s="216">
        <v>0</v>
      </c>
      <c r="L16" s="216">
        <v>0</v>
      </c>
      <c r="M16" s="398">
        <f>SUM(H16,I16,J16,K16,L16)</f>
        <v>19</v>
      </c>
      <c r="N16" s="216">
        <v>1</v>
      </c>
      <c r="O16" s="398">
        <f>SUM(M16,N16)</f>
        <v>20</v>
      </c>
    </row>
    <row r="17" spans="1:15" x14ac:dyDescent="0.25">
      <c r="A17" s="331" t="s">
        <v>52</v>
      </c>
      <c r="B17" s="197">
        <v>0</v>
      </c>
      <c r="C17" s="150">
        <v>0</v>
      </c>
      <c r="D17" s="150">
        <v>1</v>
      </c>
      <c r="E17" s="332">
        <v>0</v>
      </c>
      <c r="F17" s="328">
        <f>SUM(B17:E17)</f>
        <v>1</v>
      </c>
      <c r="G17" s="395">
        <v>0</v>
      </c>
      <c r="H17" s="335">
        <f t="shared" si="0"/>
        <v>1</v>
      </c>
      <c r="I17" s="197">
        <v>0</v>
      </c>
      <c r="J17" s="150">
        <v>4</v>
      </c>
      <c r="K17" s="150">
        <v>0</v>
      </c>
      <c r="L17" s="150">
        <v>0</v>
      </c>
      <c r="M17" s="335">
        <f>SUM(H17,I17,J17,K17,L17)</f>
        <v>5</v>
      </c>
      <c r="N17" s="150">
        <v>0</v>
      </c>
      <c r="O17" s="335">
        <f>SUM(M17,N17)</f>
        <v>5</v>
      </c>
    </row>
    <row r="18" spans="1:15" ht="14.25" thickBot="1" x14ac:dyDescent="0.3">
      <c r="A18" s="449" t="s">
        <v>45</v>
      </c>
      <c r="B18" s="225">
        <v>1</v>
      </c>
      <c r="C18" s="227">
        <v>1</v>
      </c>
      <c r="D18" s="227">
        <v>1</v>
      </c>
      <c r="E18" s="336">
        <v>1</v>
      </c>
      <c r="F18" s="328">
        <f>SUM(B18:E18)</f>
        <v>4</v>
      </c>
      <c r="G18" s="402">
        <v>0</v>
      </c>
      <c r="H18" s="397">
        <f t="shared" si="0"/>
        <v>4</v>
      </c>
      <c r="I18" s="225">
        <v>12</v>
      </c>
      <c r="J18" s="227">
        <v>0</v>
      </c>
      <c r="K18" s="227">
        <v>2</v>
      </c>
      <c r="L18" s="227">
        <v>0</v>
      </c>
      <c r="M18" s="397">
        <f>SUM(H18,I18,J18,K18,L18)</f>
        <v>18</v>
      </c>
      <c r="N18" s="227">
        <v>3</v>
      </c>
      <c r="O18" s="397">
        <f>SUM(M18,N18)</f>
        <v>21</v>
      </c>
    </row>
    <row r="19" spans="1:15" ht="18" customHeight="1" thickBot="1" x14ac:dyDescent="0.3">
      <c r="A19" s="339" t="s">
        <v>46</v>
      </c>
      <c r="B19" s="204">
        <f t="shared" ref="B19:G19" si="7">SUM(B16:B18)</f>
        <v>11</v>
      </c>
      <c r="C19" s="184">
        <f t="shared" si="7"/>
        <v>1</v>
      </c>
      <c r="D19" s="184">
        <f t="shared" si="7"/>
        <v>10</v>
      </c>
      <c r="E19" s="249">
        <f t="shared" si="7"/>
        <v>1</v>
      </c>
      <c r="F19" s="319">
        <f t="shared" si="7"/>
        <v>23</v>
      </c>
      <c r="G19" s="337">
        <f t="shared" si="7"/>
        <v>1</v>
      </c>
      <c r="H19" s="319">
        <f t="shared" si="0"/>
        <v>24</v>
      </c>
      <c r="I19" s="204">
        <f t="shared" ref="I19:O19" si="8">SUM(I16:I18)</f>
        <v>12</v>
      </c>
      <c r="J19" s="184">
        <f t="shared" si="8"/>
        <v>4</v>
      </c>
      <c r="K19" s="184">
        <f t="shared" si="8"/>
        <v>2</v>
      </c>
      <c r="L19" s="184">
        <f t="shared" si="8"/>
        <v>0</v>
      </c>
      <c r="M19" s="319">
        <f t="shared" si="8"/>
        <v>42</v>
      </c>
      <c r="N19" s="184">
        <f t="shared" si="8"/>
        <v>4</v>
      </c>
      <c r="O19" s="319">
        <f t="shared" si="8"/>
        <v>46</v>
      </c>
    </row>
    <row r="20" spans="1:15" ht="17.25" customHeight="1" thickBot="1" x14ac:dyDescent="0.3">
      <c r="A20" s="339" t="s">
        <v>47</v>
      </c>
      <c r="B20" s="184">
        <f t="shared" ref="B20:G20" si="9">SUM(B7,B10,B15,B19)</f>
        <v>18</v>
      </c>
      <c r="C20" s="184">
        <f t="shared" si="9"/>
        <v>10</v>
      </c>
      <c r="D20" s="184">
        <f t="shared" si="9"/>
        <v>22</v>
      </c>
      <c r="E20" s="249">
        <f t="shared" si="9"/>
        <v>7</v>
      </c>
      <c r="F20" s="319">
        <f t="shared" si="9"/>
        <v>57</v>
      </c>
      <c r="G20" s="337">
        <f t="shared" si="9"/>
        <v>2</v>
      </c>
      <c r="H20" s="319">
        <f t="shared" si="0"/>
        <v>59</v>
      </c>
      <c r="I20" s="204">
        <f t="shared" ref="I20:O20" si="10">SUM(I7,I10,I15,I19)</f>
        <v>32</v>
      </c>
      <c r="J20" s="184">
        <f t="shared" si="10"/>
        <v>11</v>
      </c>
      <c r="K20" s="184">
        <f t="shared" si="10"/>
        <v>13</v>
      </c>
      <c r="L20" s="184">
        <f t="shared" si="10"/>
        <v>1</v>
      </c>
      <c r="M20" s="319">
        <f t="shared" si="10"/>
        <v>116</v>
      </c>
      <c r="N20" s="184">
        <f t="shared" si="10"/>
        <v>15</v>
      </c>
      <c r="O20" s="319">
        <f t="shared" si="10"/>
        <v>131</v>
      </c>
    </row>
    <row r="21" spans="1:15" ht="14.25" thickBot="1" x14ac:dyDescent="0.3">
      <c r="H21" s="123"/>
    </row>
    <row r="22" spans="1:15" ht="14.25" thickBot="1" x14ac:dyDescent="0.3">
      <c r="A22" s="314">
        <f>O20</f>
        <v>131</v>
      </c>
      <c r="B22" s="406" t="s">
        <v>116</v>
      </c>
      <c r="C22" s="406"/>
      <c r="D22" s="407"/>
      <c r="E22" s="454">
        <f>'Anlage 1a'!AF41</f>
        <v>565</v>
      </c>
      <c r="F22" s="406" t="s">
        <v>117</v>
      </c>
      <c r="G22" s="407"/>
      <c r="H22" s="406" t="s">
        <v>118</v>
      </c>
      <c r="I22" s="406"/>
      <c r="J22" s="406"/>
      <c r="K22" s="406"/>
      <c r="L22" s="406"/>
      <c r="M22" s="406"/>
      <c r="N22" s="410">
        <f>A22/E22*100</f>
        <v>23.185840707964601</v>
      </c>
      <c r="O22" s="320" t="s">
        <v>50</v>
      </c>
    </row>
    <row r="27" spans="1:15" x14ac:dyDescent="0.25">
      <c r="A27" s="3" t="s">
        <v>53</v>
      </c>
    </row>
  </sheetData>
  <customSheetViews>
    <customSheetView guid="{0224233B-564D-4BBC-A6B2-E639E6D2CFB3}" showPageBreak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view="pageLayout" zoomScaleNormal="100" zoomScaleSheetLayoutView="100" workbookViewId="0">
      <selection activeCell="A2" sqref="A2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138</v>
      </c>
      <c r="B5" s="412" t="s">
        <v>102</v>
      </c>
      <c r="C5" s="412" t="s">
        <v>103</v>
      </c>
      <c r="D5" s="412" t="s">
        <v>104</v>
      </c>
      <c r="E5" s="412" t="s">
        <v>105</v>
      </c>
      <c r="F5" s="412" t="s">
        <v>106</v>
      </c>
      <c r="G5" s="412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6" t="s">
        <v>113</v>
      </c>
      <c r="N5" s="412" t="s">
        <v>114</v>
      </c>
      <c r="O5" s="416" t="s">
        <v>115</v>
      </c>
    </row>
    <row r="6" spans="1:17" ht="22.5" customHeight="1" thickBot="1" x14ac:dyDescent="0.3">
      <c r="A6" s="331" t="s">
        <v>36</v>
      </c>
      <c r="B6" s="263">
        <f>'Anlage 6.13'!B6+'Anlage 6.14'!B6+'Anlage 6.15'!B6</f>
        <v>0</v>
      </c>
      <c r="C6" s="371">
        <f>'Anlage 6.13'!C6+'Anlage 6.14'!C6+'Anlage 6.15'!C6</f>
        <v>0</v>
      </c>
      <c r="D6" s="371">
        <f>'Anlage 6.13'!D6+'Anlage 6.14'!D6+'Anlage 6.15'!D6</f>
        <v>0</v>
      </c>
      <c r="E6" s="371">
        <f>'Anlage 6.13'!E6+'Anlage 6.14'!E6+'Anlage 6.15'!E6</f>
        <v>0</v>
      </c>
      <c r="F6" s="371">
        <f>'Anlage 6.13'!F6+'Anlage 6.14'!F6+'Anlage 6.15'!F6</f>
        <v>0</v>
      </c>
      <c r="G6" s="466">
        <f>'Anlage 6.13'!G6+'Anlage 6.14'!G6+'Anlage 6.15'!G6</f>
        <v>0</v>
      </c>
      <c r="H6" s="316">
        <f>'Anlage 6.13'!H6+'Anlage 6.14'!H6+'Anlage 6.15'!H6</f>
        <v>0</v>
      </c>
      <c r="I6" s="341">
        <f>'Anlage 6.13'!I6+'Anlage 6.14'!I6+'Anlage 6.15'!I6</f>
        <v>0</v>
      </c>
      <c r="J6" s="371">
        <f>'Anlage 6.13'!J6+'Anlage 6.14'!J6+'Anlage 6.15'!J6</f>
        <v>0</v>
      </c>
      <c r="K6" s="371">
        <f>'Anlage 6.13'!K6+'Anlage 6.14'!K6+'Anlage 6.15'!K6</f>
        <v>0</v>
      </c>
      <c r="L6" s="466">
        <f>'Anlage 6.13'!L6+'Anlage 6.14'!L6+'Anlage 6.15'!L6</f>
        <v>0</v>
      </c>
      <c r="M6" s="316">
        <f>'Anlage 6.13'!M6+'Anlage 6.14'!M6+'Anlage 6.15'!M6</f>
        <v>0</v>
      </c>
      <c r="N6" s="467">
        <f>'Anlage 6.13'!N6+'Anlage 6.14'!N6+'Anlage 6.15'!N6</f>
        <v>0</v>
      </c>
      <c r="O6" s="316">
        <f>'Anlage 6.13'!O6+'Anlage 6.14'!O6+'Anlage 6.15'!O6</f>
        <v>0</v>
      </c>
    </row>
    <row r="7" spans="1:17" s="123" customFormat="1" ht="19.5" customHeight="1" thickBot="1" x14ac:dyDescent="0.3">
      <c r="A7" s="339" t="s">
        <v>38</v>
      </c>
      <c r="B7" s="278">
        <f>'Anlage 6.13'!B7+'Anlage 6.14'!B7+'Anlage 6.15'!B7</f>
        <v>0</v>
      </c>
      <c r="C7" s="442">
        <f>'Anlage 6.13'!C7+'Anlage 6.14'!C7+'Anlage 6.15'!C7</f>
        <v>0</v>
      </c>
      <c r="D7" s="442">
        <f>'Anlage 6.13'!D7+'Anlage 6.14'!D7+'Anlage 6.15'!D7</f>
        <v>0</v>
      </c>
      <c r="E7" s="442">
        <f>'Anlage 6.13'!E7+'Anlage 6.14'!E7+'Anlage 6.15'!E7</f>
        <v>0</v>
      </c>
      <c r="F7" s="442">
        <f>'Anlage 6.13'!F7+'Anlage 6.14'!F7+'Anlage 6.15'!F7</f>
        <v>0</v>
      </c>
      <c r="G7" s="443">
        <f>'Anlage 6.13'!G7+'Anlage 6.14'!G7+'Anlage 6.15'!G7</f>
        <v>0</v>
      </c>
      <c r="H7" s="345">
        <f>'Anlage 6.13'!H7+'Anlage 6.14'!H7+'Anlage 6.15'!H7</f>
        <v>0</v>
      </c>
      <c r="I7" s="444">
        <f>'Anlage 6.13'!I7+'Anlage 6.14'!I7+'Anlage 6.15'!I7</f>
        <v>0</v>
      </c>
      <c r="J7" s="442">
        <f>'Anlage 6.13'!J7+'Anlage 6.14'!J7+'Anlage 6.15'!J7</f>
        <v>0</v>
      </c>
      <c r="K7" s="442">
        <f>'Anlage 6.13'!K7+'Anlage 6.14'!K7+'Anlage 6.15'!K7</f>
        <v>0</v>
      </c>
      <c r="L7" s="443">
        <f>'Anlage 6.13'!L7+'Anlage 6.14'!L7+'Anlage 6.15'!L7</f>
        <v>0</v>
      </c>
      <c r="M7" s="345">
        <f>'Anlage 6.13'!M7+'Anlage 6.14'!M7+'Anlage 6.15'!M7</f>
        <v>0</v>
      </c>
      <c r="N7" s="406">
        <f>'Anlage 6.13'!N7+'Anlage 6.14'!N7+'Anlage 6.15'!N7</f>
        <v>0</v>
      </c>
      <c r="O7" s="345">
        <f>'Anlage 6.13'!O7+'Anlage 6.14'!O7+'Anlage 6.15'!O7</f>
        <v>0</v>
      </c>
    </row>
    <row r="8" spans="1:17" s="123" customFormat="1" ht="16.5" customHeight="1" thickBot="1" x14ac:dyDescent="0.3">
      <c r="A8" s="205" t="s">
        <v>56</v>
      </c>
      <c r="B8" s="217">
        <f>'Anlage 6.13'!B8+'Anlage 6.14'!B8+'Anlage 6.15'!B8</f>
        <v>0</v>
      </c>
      <c r="C8" s="234">
        <f>'Anlage 6.13'!C8+'Anlage 6.14'!C8+'Anlage 6.15'!C8</f>
        <v>0</v>
      </c>
      <c r="D8" s="234">
        <f>'Anlage 6.13'!D8+'Anlage 6.14'!D8+'Anlage 6.15'!D8</f>
        <v>0</v>
      </c>
      <c r="E8" s="234">
        <f>'Anlage 6.13'!E8+'Anlage 6.14'!E8+'Anlage 6.15'!E8</f>
        <v>0</v>
      </c>
      <c r="F8" s="234">
        <f>'Anlage 6.13'!F8+'Anlage 6.14'!F8+'Anlage 6.15'!F8</f>
        <v>0</v>
      </c>
      <c r="G8" s="432">
        <f>'Anlage 6.13'!G8+'Anlage 6.14'!G8+'Anlage 6.15'!G8</f>
        <v>0</v>
      </c>
      <c r="H8" s="328">
        <f>'Anlage 6.13'!H8+'Anlage 6.14'!H8+'Anlage 6.15'!H8</f>
        <v>0</v>
      </c>
      <c r="I8" s="223">
        <f>'Anlage 6.13'!I8+'Anlage 6.14'!I8+'Anlage 6.15'!I8</f>
        <v>0</v>
      </c>
      <c r="J8" s="234">
        <f>'Anlage 6.13'!J8+'Anlage 6.14'!J8+'Anlage 6.15'!J8</f>
        <v>0</v>
      </c>
      <c r="K8" s="234">
        <f>'Anlage 6.13'!K8+'Anlage 6.14'!K8+'Anlage 6.15'!K8</f>
        <v>0</v>
      </c>
      <c r="L8" s="432">
        <f>'Anlage 6.13'!L8+'Anlage 6.14'!L8+'Anlage 6.15'!L8</f>
        <v>0</v>
      </c>
      <c r="M8" s="328">
        <f>'Anlage 6.13'!M8+'Anlage 6.14'!M8+'Anlage 6.15'!M8</f>
        <v>0</v>
      </c>
      <c r="N8" s="433">
        <f>'Anlage 6.13'!N8+'Anlage 6.14'!N8+'Anlage 6.15'!N8</f>
        <v>0</v>
      </c>
      <c r="O8" s="328">
        <f>'Anlage 6.13'!O8+'Anlage 6.14'!O8+'Anlage 6.15'!O8</f>
        <v>0</v>
      </c>
    </row>
    <row r="9" spans="1:17" s="123" customFormat="1" ht="15.75" hidden="1" customHeight="1" thickBot="1" x14ac:dyDescent="0.3">
      <c r="A9" s="662" t="s">
        <v>177</v>
      </c>
      <c r="B9" s="672"/>
      <c r="C9" s="671"/>
      <c r="D9" s="671"/>
      <c r="E9" s="671"/>
      <c r="F9" s="671"/>
      <c r="G9" s="818"/>
      <c r="H9" s="824"/>
      <c r="I9" s="669"/>
      <c r="J9" s="671"/>
      <c r="K9" s="671"/>
      <c r="L9" s="818"/>
      <c r="M9" s="824"/>
      <c r="N9" s="816"/>
      <c r="O9" s="824"/>
    </row>
    <row r="10" spans="1:17" s="123" customFormat="1" ht="18" customHeight="1" thickBot="1" x14ac:dyDescent="0.3">
      <c r="A10" s="318" t="s">
        <v>55</v>
      </c>
      <c r="B10" s="278">
        <f>'Anlage 6.13'!B10+'Anlage 6.14'!B10+'Anlage 6.15'!B10</f>
        <v>0</v>
      </c>
      <c r="C10" s="442">
        <f>'Anlage 6.13'!C10+'Anlage 6.14'!C10+'Anlage 6.15'!C10</f>
        <v>0</v>
      </c>
      <c r="D10" s="442">
        <f>'Anlage 6.13'!D10+'Anlage 6.14'!D10+'Anlage 6.15'!D10</f>
        <v>0</v>
      </c>
      <c r="E10" s="442">
        <f>'Anlage 6.13'!E10+'Anlage 6.14'!E10+'Anlage 6.15'!E10</f>
        <v>0</v>
      </c>
      <c r="F10" s="442">
        <f>'Anlage 6.13'!F10+'Anlage 6.14'!F10+'Anlage 6.15'!F10</f>
        <v>0</v>
      </c>
      <c r="G10" s="443">
        <f>'Anlage 6.13'!G10+'Anlage 6.14'!G10+'Anlage 6.15'!G10</f>
        <v>0</v>
      </c>
      <c r="H10" s="345">
        <f>'Anlage 6.13'!H10+'Anlage 6.14'!H10+'Anlage 6.15'!H10</f>
        <v>0</v>
      </c>
      <c r="I10" s="444">
        <f>'Anlage 6.13'!I10+'Anlage 6.14'!I10+'Anlage 6.15'!I10</f>
        <v>0</v>
      </c>
      <c r="J10" s="442">
        <f>'Anlage 6.13'!J10+'Anlage 6.14'!J10+'Anlage 6.15'!J10</f>
        <v>0</v>
      </c>
      <c r="K10" s="442">
        <f>'Anlage 6.13'!K10+'Anlage 6.14'!K10+'Anlage 6.15'!K10</f>
        <v>0</v>
      </c>
      <c r="L10" s="443">
        <f>'Anlage 6.13'!L10+'Anlage 6.14'!L10+'Anlage 6.15'!L10</f>
        <v>0</v>
      </c>
      <c r="M10" s="345">
        <f>'Anlage 6.13'!M10+'Anlage 6.14'!M10+'Anlage 6.15'!M10</f>
        <v>0</v>
      </c>
      <c r="N10" s="406">
        <f>'Anlage 6.13'!N10+'Anlage 6.14'!N10+'Anlage 6.15'!N10</f>
        <v>0</v>
      </c>
      <c r="O10" s="345">
        <f>'Anlage 6.13'!O10+'Anlage 6.14'!O10+'Anlage 6.15'!O10</f>
        <v>0</v>
      </c>
    </row>
    <row r="11" spans="1:17" ht="17.25" customHeight="1" x14ac:dyDescent="0.25">
      <c r="A11" s="448" t="s">
        <v>39</v>
      </c>
      <c r="B11" s="217">
        <f>'Anlage 6.13'!B11+'Anlage 6.14'!B11+'Anlage 6.15'!B11</f>
        <v>13</v>
      </c>
      <c r="C11" s="234">
        <f>'Anlage 6.13'!C11+'Anlage 6.14'!C11+'Anlage 6.15'!C11</f>
        <v>6</v>
      </c>
      <c r="D11" s="234">
        <f>'Anlage 6.13'!D11+'Anlage 6.14'!D11+'Anlage 6.15'!D11</f>
        <v>19</v>
      </c>
      <c r="E11" s="234">
        <f>'Anlage 6.13'!E11+'Anlage 6.14'!E11+'Anlage 6.15'!E11</f>
        <v>3</v>
      </c>
      <c r="F11" s="234">
        <f>'Anlage 6.13'!F11+'Anlage 6.14'!F11+'Anlage 6.15'!F11</f>
        <v>41</v>
      </c>
      <c r="G11" s="432">
        <f>'Anlage 6.13'!G11+'Anlage 6.14'!G11+'Anlage 6.15'!G11</f>
        <v>0</v>
      </c>
      <c r="H11" s="328">
        <f>'Anlage 6.13'!H11+'Anlage 6.14'!H11+'Anlage 6.15'!H11</f>
        <v>41</v>
      </c>
      <c r="I11" s="223">
        <f>'Anlage 6.13'!I11+'Anlage 6.14'!I11+'Anlage 6.15'!I11</f>
        <v>19</v>
      </c>
      <c r="J11" s="234">
        <f>'Anlage 6.13'!J11+'Anlage 6.14'!J11+'Anlage 6.15'!J11</f>
        <v>1</v>
      </c>
      <c r="K11" s="234">
        <f>'Anlage 6.13'!K11+'Anlage 6.14'!K11+'Anlage 6.15'!K11</f>
        <v>1</v>
      </c>
      <c r="L11" s="432">
        <f>'Anlage 6.13'!L11+'Anlage 6.14'!L11+'Anlage 6.15'!L11</f>
        <v>1</v>
      </c>
      <c r="M11" s="328">
        <f>'Anlage 6.13'!M11+'Anlage 6.14'!M11+'Anlage 6.15'!M11</f>
        <v>63</v>
      </c>
      <c r="N11" s="433">
        <f>'Anlage 6.13'!N11+'Anlage 6.14'!N11+'Anlage 6.15'!N11</f>
        <v>5</v>
      </c>
      <c r="O11" s="328">
        <f>'Anlage 6.13'!O11+'Anlage 6.14'!O11+'Anlage 6.15'!O11</f>
        <v>68</v>
      </c>
    </row>
    <row r="12" spans="1:17" ht="15" customHeight="1" x14ac:dyDescent="0.25">
      <c r="A12" s="331" t="s">
        <v>40</v>
      </c>
      <c r="B12" s="152">
        <f>'Anlage 6.13'!B12+'Anlage 6.14'!B12+'Anlage 6.15'!B12</f>
        <v>12</v>
      </c>
      <c r="C12" s="157">
        <f>'Anlage 6.13'!C12+'Anlage 6.14'!C12+'Anlage 6.15'!C12</f>
        <v>13</v>
      </c>
      <c r="D12" s="157">
        <f>'Anlage 6.13'!D12+'Anlage 6.14'!D12+'Anlage 6.15'!D12</f>
        <v>6</v>
      </c>
      <c r="E12" s="157">
        <f>'Anlage 6.13'!E12+'Anlage 6.14'!E12+'Anlage 6.15'!E12</f>
        <v>7</v>
      </c>
      <c r="F12" s="157">
        <f>'Anlage 6.13'!F12+'Anlage 6.14'!F12+'Anlage 6.15'!F12</f>
        <v>38</v>
      </c>
      <c r="G12" s="434">
        <f>'Anlage 6.13'!G12+'Anlage 6.14'!G12+'Anlage 6.15'!G12</f>
        <v>0</v>
      </c>
      <c r="H12" s="317">
        <f>'Anlage 6.13'!H12+'Anlage 6.14'!H12+'Anlage 6.15'!H12</f>
        <v>38</v>
      </c>
      <c r="I12" s="343">
        <f>'Anlage 6.13'!I12+'Anlage 6.14'!I12+'Anlage 6.15'!I12</f>
        <v>20</v>
      </c>
      <c r="J12" s="157">
        <f>'Anlage 6.13'!J12+'Anlage 6.14'!J12+'Anlage 6.15'!J12</f>
        <v>6</v>
      </c>
      <c r="K12" s="157">
        <f>'Anlage 6.13'!K12+'Anlage 6.14'!K12+'Anlage 6.15'!K12</f>
        <v>4</v>
      </c>
      <c r="L12" s="434">
        <f>'Anlage 6.13'!L12+'Anlage 6.14'!L12+'Anlage 6.15'!L12</f>
        <v>2</v>
      </c>
      <c r="M12" s="317">
        <f>'Anlage 6.13'!M12+'Anlage 6.14'!M12+'Anlage 6.15'!M12</f>
        <v>70</v>
      </c>
      <c r="N12" s="435">
        <f>'Anlage 6.13'!N12+'Anlage 6.14'!N12+'Anlage 6.15'!N12</f>
        <v>17</v>
      </c>
      <c r="O12" s="317">
        <f>'Anlage 6.13'!O12+'Anlage 6.14'!O12+'Anlage 6.15'!O12</f>
        <v>87</v>
      </c>
    </row>
    <row r="13" spans="1:17" ht="16.5" customHeight="1" x14ac:dyDescent="0.25">
      <c r="A13" s="331" t="s">
        <v>41</v>
      </c>
      <c r="B13" s="152">
        <f>'Anlage 6.13'!B13+'Anlage 6.14'!B13+'Anlage 6.15'!B13</f>
        <v>4</v>
      </c>
      <c r="C13" s="157">
        <f>'Anlage 6.13'!C13+'Anlage 6.14'!C13+'Anlage 6.15'!C13</f>
        <v>0</v>
      </c>
      <c r="D13" s="157">
        <f>'Anlage 6.13'!D13+'Anlage 6.14'!D13+'Anlage 6.15'!D13</f>
        <v>18</v>
      </c>
      <c r="E13" s="157">
        <f>'Anlage 6.13'!E13+'Anlage 6.14'!E13+'Anlage 6.15'!E13</f>
        <v>0</v>
      </c>
      <c r="F13" s="157">
        <f>'Anlage 6.13'!F13+'Anlage 6.14'!F13+'Anlage 6.15'!F13</f>
        <v>22</v>
      </c>
      <c r="G13" s="434">
        <f>'Anlage 6.13'!G13+'Anlage 6.14'!G13+'Anlage 6.15'!G13</f>
        <v>1</v>
      </c>
      <c r="H13" s="317">
        <f>'Anlage 6.13'!H13+'Anlage 6.14'!H13+'Anlage 6.15'!H13</f>
        <v>23</v>
      </c>
      <c r="I13" s="343">
        <f>'Anlage 6.13'!I13+'Anlage 6.14'!I13+'Anlage 6.15'!I13</f>
        <v>9</v>
      </c>
      <c r="J13" s="157">
        <f>'Anlage 6.13'!J13+'Anlage 6.14'!J13+'Anlage 6.15'!J13</f>
        <v>0</v>
      </c>
      <c r="K13" s="157">
        <f>'Anlage 6.13'!K13+'Anlage 6.14'!K13+'Anlage 6.15'!K13</f>
        <v>0</v>
      </c>
      <c r="L13" s="434">
        <f>'Anlage 6.13'!L13+'Anlage 6.14'!L13+'Anlage 6.15'!L13</f>
        <v>2</v>
      </c>
      <c r="M13" s="317">
        <f>'Anlage 6.13'!M13+'Anlage 6.14'!M13+'Anlage 6.15'!M13</f>
        <v>34</v>
      </c>
      <c r="N13" s="435">
        <f>'Anlage 6.13'!N13+'Anlage 6.14'!N13+'Anlage 6.15'!N13</f>
        <v>2</v>
      </c>
      <c r="O13" s="317">
        <f>'Anlage 6.13'!O13+'Anlage 6.14'!O13+'Anlage 6.15'!O13</f>
        <v>36</v>
      </c>
    </row>
    <row r="14" spans="1:17" ht="15.75" customHeight="1" thickBot="1" x14ac:dyDescent="0.3">
      <c r="A14" s="449" t="s">
        <v>42</v>
      </c>
      <c r="B14" s="228">
        <f>'Anlage 6.13'!B14+'Anlage 6.14'!B14+'Anlage 6.15'!B14</f>
        <v>0</v>
      </c>
      <c r="C14" s="264">
        <f>'Anlage 6.13'!C14+'Anlage 6.14'!C14+'Anlage 6.15'!C14</f>
        <v>6</v>
      </c>
      <c r="D14" s="264">
        <f>'Anlage 6.13'!D14+'Anlage 6.14'!D14+'Anlage 6.15'!D14</f>
        <v>0</v>
      </c>
      <c r="E14" s="264">
        <f>'Anlage 6.13'!E14+'Anlage 6.14'!E14+'Anlage 6.15'!E14</f>
        <v>2</v>
      </c>
      <c r="F14" s="264">
        <f>'Anlage 6.13'!F14+'Anlage 6.14'!F14+'Anlage 6.15'!F14</f>
        <v>8</v>
      </c>
      <c r="G14" s="437">
        <f>'Anlage 6.13'!G14+'Anlage 6.14'!G14+'Anlage 6.15'!G14</f>
        <v>0</v>
      </c>
      <c r="H14" s="400">
        <f>'Anlage 6.13'!H14+'Anlage 6.14'!H14+'Anlage 6.15'!H14</f>
        <v>8</v>
      </c>
      <c r="I14" s="254">
        <f>'Anlage 6.13'!I14+'Anlage 6.14'!I14+'Anlage 6.15'!I14</f>
        <v>3</v>
      </c>
      <c r="J14" s="264">
        <f>'Anlage 6.13'!J14+'Anlage 6.14'!J14+'Anlage 6.15'!J14</f>
        <v>28</v>
      </c>
      <c r="K14" s="264">
        <f>'Anlage 6.13'!K14+'Anlage 6.14'!K14+'Anlage 6.15'!K14</f>
        <v>21</v>
      </c>
      <c r="L14" s="437">
        <f>'Anlage 6.13'!L14+'Anlage 6.14'!L14+'Anlage 6.15'!L14</f>
        <v>1</v>
      </c>
      <c r="M14" s="400">
        <f>'Anlage 6.13'!M14+'Anlage 6.14'!M14+'Anlage 6.15'!M14</f>
        <v>61</v>
      </c>
      <c r="N14" s="438">
        <f>'Anlage 6.13'!N14+'Anlage 6.14'!N14+'Anlage 6.15'!N14</f>
        <v>3</v>
      </c>
      <c r="O14" s="400">
        <f>'Anlage 6.13'!O14+'Anlage 6.14'!O14+'Anlage 6.15'!O14</f>
        <v>64</v>
      </c>
    </row>
    <row r="15" spans="1:17" s="123" customFormat="1" ht="17.25" customHeight="1" thickBot="1" x14ac:dyDescent="0.3">
      <c r="A15" s="339" t="s">
        <v>43</v>
      </c>
      <c r="B15" s="278">
        <f>'Anlage 6.13'!B15+'Anlage 6.14'!B15+'Anlage 6.15'!B15</f>
        <v>29</v>
      </c>
      <c r="C15" s="442">
        <f>'Anlage 6.13'!C15+'Anlage 6.14'!C15+'Anlage 6.15'!C15</f>
        <v>25</v>
      </c>
      <c r="D15" s="442">
        <f>'Anlage 6.13'!D15+'Anlage 6.14'!D15+'Anlage 6.15'!D15</f>
        <v>43</v>
      </c>
      <c r="E15" s="442">
        <f>'Anlage 6.13'!E15+'Anlage 6.14'!E15+'Anlage 6.15'!E15</f>
        <v>12</v>
      </c>
      <c r="F15" s="442">
        <f>'Anlage 6.13'!F15+'Anlage 6.14'!F15+'Anlage 6.15'!F15</f>
        <v>109</v>
      </c>
      <c r="G15" s="443">
        <f>'Anlage 6.13'!G15+'Anlage 6.14'!G15+'Anlage 6.15'!G15</f>
        <v>1</v>
      </c>
      <c r="H15" s="345">
        <f>'Anlage 6.13'!H15+'Anlage 6.14'!H15+'Anlage 6.15'!H15</f>
        <v>110</v>
      </c>
      <c r="I15" s="444">
        <f>'Anlage 6.13'!I15+'Anlage 6.14'!I15+'Anlage 6.15'!I15</f>
        <v>51</v>
      </c>
      <c r="J15" s="442">
        <f>'Anlage 6.13'!J15+'Anlage 6.14'!J15+'Anlage 6.15'!J15</f>
        <v>35</v>
      </c>
      <c r="K15" s="442">
        <f>'Anlage 6.13'!K15+'Anlage 6.14'!K15+'Anlage 6.15'!K15</f>
        <v>26</v>
      </c>
      <c r="L15" s="443">
        <f>'Anlage 6.13'!L15+'Anlage 6.14'!L15+'Anlage 6.15'!L15</f>
        <v>6</v>
      </c>
      <c r="M15" s="345">
        <f>'Anlage 6.13'!M15+'Anlage 6.14'!M15+'Anlage 6.15'!M15</f>
        <v>228</v>
      </c>
      <c r="N15" s="406">
        <f>'Anlage 6.13'!N15+'Anlage 6.14'!N15+'Anlage 6.15'!N15</f>
        <v>27</v>
      </c>
      <c r="O15" s="345">
        <f>'Anlage 6.13'!O15+'Anlage 6.14'!O15+'Anlage 6.15'!O15</f>
        <v>255</v>
      </c>
    </row>
    <row r="16" spans="1:17" ht="15.75" customHeight="1" x14ac:dyDescent="0.25">
      <c r="A16" s="448" t="s">
        <v>44</v>
      </c>
      <c r="B16" s="217">
        <f>'Anlage 6.13'!B16+'Anlage 6.14'!B16+'Anlage 6.15'!B16</f>
        <v>17</v>
      </c>
      <c r="C16" s="234">
        <f>'Anlage 6.13'!C16+'Anlage 6.14'!C16+'Anlage 6.15'!C16</f>
        <v>1</v>
      </c>
      <c r="D16" s="234">
        <f>'Anlage 6.13'!D16+'Anlage 6.14'!D16+'Anlage 6.15'!D16</f>
        <v>15</v>
      </c>
      <c r="E16" s="234">
        <f>'Anlage 6.13'!E16+'Anlage 6.14'!E16+'Anlage 6.15'!E16</f>
        <v>0</v>
      </c>
      <c r="F16" s="234">
        <f>'Anlage 6.13'!F16+'Anlage 6.14'!F16+'Anlage 6.15'!F16</f>
        <v>33</v>
      </c>
      <c r="G16" s="432">
        <f>'Anlage 6.13'!G16+'Anlage 6.14'!G16+'Anlage 6.15'!G16</f>
        <v>3</v>
      </c>
      <c r="H16" s="328">
        <f>'Anlage 6.13'!H16+'Anlage 6.14'!H16+'Anlage 6.15'!H16</f>
        <v>36</v>
      </c>
      <c r="I16" s="223">
        <f>'Anlage 6.13'!I16+'Anlage 6.14'!I16+'Anlage 6.15'!I16</f>
        <v>7</v>
      </c>
      <c r="J16" s="234">
        <f>'Anlage 6.13'!J16+'Anlage 6.14'!J16+'Anlage 6.15'!J16</f>
        <v>1</v>
      </c>
      <c r="K16" s="234">
        <f>'Anlage 6.13'!K16+'Anlage 6.14'!K16+'Anlage 6.15'!K16</f>
        <v>1</v>
      </c>
      <c r="L16" s="432">
        <f>'Anlage 6.13'!L16+'Anlage 6.14'!L16+'Anlage 6.15'!L16</f>
        <v>0</v>
      </c>
      <c r="M16" s="328">
        <f>'Anlage 6.13'!M16+'Anlage 6.14'!M16+'Anlage 6.15'!M16</f>
        <v>45</v>
      </c>
      <c r="N16" s="433">
        <f>'Anlage 6.13'!N16+'Anlage 6.14'!N16+'Anlage 6.15'!N16</f>
        <v>3</v>
      </c>
      <c r="O16" s="328">
        <f>'Anlage 6.13'!O16+'Anlage 6.14'!O16+'Anlage 6.15'!O16</f>
        <v>48</v>
      </c>
    </row>
    <row r="17" spans="1:16" ht="15" customHeight="1" x14ac:dyDescent="0.25">
      <c r="A17" s="331" t="s">
        <v>52</v>
      </c>
      <c r="B17" s="152">
        <f>'Anlage 6.13'!B17+'Anlage 6.14'!B17+'Anlage 6.15'!B17</f>
        <v>0</v>
      </c>
      <c r="C17" s="157">
        <f>'Anlage 6.13'!C17+'Anlage 6.14'!C17+'Anlage 6.15'!C17</f>
        <v>1</v>
      </c>
      <c r="D17" s="157">
        <f>'Anlage 6.13'!D17+'Anlage 6.14'!D17+'Anlage 6.15'!D17</f>
        <v>1</v>
      </c>
      <c r="E17" s="157">
        <f>'Anlage 6.13'!E17+'Anlage 6.14'!E17+'Anlage 6.15'!E17</f>
        <v>0</v>
      </c>
      <c r="F17" s="157">
        <f>'Anlage 6.13'!F17+'Anlage 6.14'!F17+'Anlage 6.15'!F17</f>
        <v>2</v>
      </c>
      <c r="G17" s="434">
        <f>'Anlage 6.13'!G17+'Anlage 6.14'!G17+'Anlage 6.15'!G17</f>
        <v>0</v>
      </c>
      <c r="H17" s="317">
        <f>'Anlage 6.13'!H17+'Anlage 6.14'!H17+'Anlage 6.15'!H17</f>
        <v>2</v>
      </c>
      <c r="I17" s="343">
        <f>'Anlage 6.13'!I17+'Anlage 6.14'!I17+'Anlage 6.15'!I17</f>
        <v>7</v>
      </c>
      <c r="J17" s="157">
        <f>'Anlage 6.13'!J17+'Anlage 6.14'!J17+'Anlage 6.15'!J17</f>
        <v>7</v>
      </c>
      <c r="K17" s="157">
        <f>'Anlage 6.13'!K17+'Anlage 6.14'!K17+'Anlage 6.15'!K17</f>
        <v>0</v>
      </c>
      <c r="L17" s="434">
        <f>'Anlage 6.13'!L17+'Anlage 6.14'!L17+'Anlage 6.15'!L17</f>
        <v>0</v>
      </c>
      <c r="M17" s="317">
        <f>'Anlage 6.13'!M17+'Anlage 6.14'!M17+'Anlage 6.15'!M17</f>
        <v>16</v>
      </c>
      <c r="N17" s="435">
        <f>'Anlage 6.13'!N17+'Anlage 6.14'!N17+'Anlage 6.15'!N17</f>
        <v>0</v>
      </c>
      <c r="O17" s="317">
        <f>'Anlage 6.13'!O17+'Anlage 6.14'!O17+'Anlage 6.15'!O17</f>
        <v>16</v>
      </c>
    </row>
    <row r="18" spans="1:16" ht="18" customHeight="1" thickBot="1" x14ac:dyDescent="0.3">
      <c r="A18" s="449" t="s">
        <v>45</v>
      </c>
      <c r="B18" s="228">
        <f>'Anlage 6.13'!B18+'Anlage 6.14'!B18+'Anlage 6.15'!B18</f>
        <v>5</v>
      </c>
      <c r="C18" s="264">
        <f>'Anlage 6.13'!C18+'Anlage 6.14'!C18+'Anlage 6.15'!C18</f>
        <v>4</v>
      </c>
      <c r="D18" s="264">
        <f>'Anlage 6.13'!D18+'Anlage 6.14'!D18+'Anlage 6.15'!D18</f>
        <v>3</v>
      </c>
      <c r="E18" s="264">
        <f>'Anlage 6.13'!E18+'Anlage 6.14'!E18+'Anlage 6.15'!E18</f>
        <v>3</v>
      </c>
      <c r="F18" s="264">
        <f>'Anlage 6.13'!F18+'Anlage 6.14'!F18+'Anlage 6.15'!F18</f>
        <v>15</v>
      </c>
      <c r="G18" s="437">
        <f>'Anlage 6.13'!G18+'Anlage 6.14'!G18+'Anlage 6.15'!G18</f>
        <v>0</v>
      </c>
      <c r="H18" s="400">
        <f>'Anlage 6.13'!H18+'Anlage 6.14'!H18+'Anlage 6.15'!H18</f>
        <v>15</v>
      </c>
      <c r="I18" s="254">
        <f>'Anlage 6.13'!I18+'Anlage 6.14'!I18+'Anlage 6.15'!I18</f>
        <v>40</v>
      </c>
      <c r="J18" s="264">
        <f>'Anlage 6.13'!J18+'Anlage 6.14'!J18+'Anlage 6.15'!J18</f>
        <v>1</v>
      </c>
      <c r="K18" s="264">
        <f>'Anlage 6.13'!K18+'Anlage 6.14'!K18+'Anlage 6.15'!K18</f>
        <v>4</v>
      </c>
      <c r="L18" s="437">
        <f>'Anlage 6.13'!L18+'Anlage 6.14'!L18+'Anlage 6.15'!L18</f>
        <v>0</v>
      </c>
      <c r="M18" s="400">
        <f>'Anlage 6.13'!M18+'Anlage 6.14'!M18+'Anlage 6.15'!M18</f>
        <v>60</v>
      </c>
      <c r="N18" s="438">
        <f>'Anlage 6.13'!N18+'Anlage 6.14'!N18+'Anlage 6.15'!N18</f>
        <v>6</v>
      </c>
      <c r="O18" s="400">
        <f>'Anlage 6.13'!O18+'Anlage 6.14'!O18+'Anlage 6.15'!O18</f>
        <v>66</v>
      </c>
    </row>
    <row r="19" spans="1:16" s="123" customFormat="1" ht="19.5" customHeight="1" thickBot="1" x14ac:dyDescent="0.3">
      <c r="A19" s="424" t="s">
        <v>46</v>
      </c>
      <c r="B19" s="278">
        <f>'Anlage 6.13'!B19+'Anlage 6.14'!B19+'Anlage 6.15'!B19</f>
        <v>22</v>
      </c>
      <c r="C19" s="442">
        <f>'Anlage 6.13'!C19+'Anlage 6.14'!C19+'Anlage 6.15'!C19</f>
        <v>6</v>
      </c>
      <c r="D19" s="442">
        <f>'Anlage 6.13'!D19+'Anlage 6.14'!D19+'Anlage 6.15'!D19</f>
        <v>19</v>
      </c>
      <c r="E19" s="442">
        <f>'Anlage 6.13'!E19+'Anlage 6.14'!E19+'Anlage 6.15'!E19</f>
        <v>3</v>
      </c>
      <c r="F19" s="442">
        <f>'Anlage 6.13'!F19+'Anlage 6.14'!F19+'Anlage 6.15'!F19</f>
        <v>50</v>
      </c>
      <c r="G19" s="443">
        <f>'Anlage 6.13'!G19+'Anlage 6.14'!G19+'Anlage 6.15'!G19</f>
        <v>3</v>
      </c>
      <c r="H19" s="345">
        <f>'Anlage 6.13'!H19+'Anlage 6.14'!H19+'Anlage 6.15'!H19</f>
        <v>53</v>
      </c>
      <c r="I19" s="444">
        <f>'Anlage 6.13'!I19+'Anlage 6.14'!I19+'Anlage 6.15'!I19</f>
        <v>54</v>
      </c>
      <c r="J19" s="442">
        <f>'Anlage 6.13'!J19+'Anlage 6.14'!J19+'Anlage 6.15'!J19</f>
        <v>9</v>
      </c>
      <c r="K19" s="442">
        <f>'Anlage 6.13'!K19+'Anlage 6.14'!K19+'Anlage 6.15'!K19</f>
        <v>5</v>
      </c>
      <c r="L19" s="443">
        <f>'Anlage 6.13'!L19+'Anlage 6.14'!L19+'Anlage 6.15'!L19</f>
        <v>0</v>
      </c>
      <c r="M19" s="345">
        <f>'Anlage 6.13'!M19+'Anlage 6.14'!M19+'Anlage 6.15'!M19</f>
        <v>121</v>
      </c>
      <c r="N19" s="345">
        <f>'Anlage 6.13'!N19+'Anlage 6.14'!N19+'Anlage 6.15'!N19</f>
        <v>9</v>
      </c>
      <c r="O19" s="407">
        <f>'Anlage 6.13'!O19+'Anlage 6.14'!O19+'Anlage 6.15'!O19</f>
        <v>130</v>
      </c>
    </row>
    <row r="20" spans="1:16" ht="15.75" customHeight="1" thickBot="1" x14ac:dyDescent="0.3">
      <c r="A20" s="424" t="s">
        <v>47</v>
      </c>
      <c r="B20" s="278">
        <f>'Anlage 6.13'!B20+'Anlage 6.14'!B20+'Anlage 6.15'!B20</f>
        <v>51</v>
      </c>
      <c r="C20" s="442">
        <f>'Anlage 6.13'!C20+'Anlage 6.14'!C20+'Anlage 6.15'!C20</f>
        <v>31</v>
      </c>
      <c r="D20" s="442">
        <f>'Anlage 6.13'!D20+'Anlage 6.14'!D20+'Anlage 6.15'!D20</f>
        <v>62</v>
      </c>
      <c r="E20" s="442">
        <f>'Anlage 6.13'!E20+'Anlage 6.14'!E20+'Anlage 6.15'!E20</f>
        <v>15</v>
      </c>
      <c r="F20" s="442">
        <f>'Anlage 6.13'!F20+'Anlage 6.14'!F20+'Anlage 6.15'!F20</f>
        <v>159</v>
      </c>
      <c r="G20" s="443">
        <f>'Anlage 6.13'!G20+'Anlage 6.14'!G20+'Anlage 6.15'!G20</f>
        <v>4</v>
      </c>
      <c r="H20" s="345">
        <f>'Anlage 6.13'!H20+'Anlage 6.14'!H20+'Anlage 6.15'!H20</f>
        <v>163</v>
      </c>
      <c r="I20" s="444">
        <f>'Anlage 6.13'!I20+'Anlage 6.14'!I20+'Anlage 6.15'!I20</f>
        <v>105</v>
      </c>
      <c r="J20" s="442">
        <f>'Anlage 6.13'!J20+'Anlage 6.14'!J20+'Anlage 6.15'!J20</f>
        <v>44</v>
      </c>
      <c r="K20" s="442">
        <f>'Anlage 6.13'!K20+'Anlage 6.14'!K20+'Anlage 6.15'!K20</f>
        <v>31</v>
      </c>
      <c r="L20" s="443">
        <f>'Anlage 6.13'!L20+'Anlage 6.14'!L20+'Anlage 6.15'!L20</f>
        <v>6</v>
      </c>
      <c r="M20" s="345">
        <f>'Anlage 6.13'!M20+'Anlage 6.14'!M20+'Anlage 6.15'!M20</f>
        <v>349</v>
      </c>
      <c r="N20" s="345">
        <f>'Anlage 6.13'!N20+'Anlage 6.14'!N20+'Anlage 6.15'!N20</f>
        <v>36</v>
      </c>
      <c r="O20" s="407">
        <f>'Anlage 6.13'!O20+'Anlage 6.14'!O20+'Anlage 6.15'!O20</f>
        <v>385</v>
      </c>
    </row>
    <row r="21" spans="1:16" ht="14.25" thickBot="1" x14ac:dyDescent="0.3"/>
    <row r="22" spans="1:16" ht="14.25" thickBot="1" x14ac:dyDescent="0.3">
      <c r="A22" s="314">
        <f>O20</f>
        <v>385</v>
      </c>
      <c r="B22" s="406" t="s">
        <v>116</v>
      </c>
      <c r="C22" s="406"/>
      <c r="D22" s="407"/>
      <c r="E22" s="408">
        <f>'Anlage 1a'!AH41</f>
        <v>1859</v>
      </c>
      <c r="F22" s="406" t="s">
        <v>117</v>
      </c>
      <c r="G22" s="406"/>
      <c r="H22" s="409" t="s">
        <v>118</v>
      </c>
      <c r="I22" s="406"/>
      <c r="J22" s="406"/>
      <c r="K22" s="406"/>
      <c r="L22" s="406"/>
      <c r="M22" s="406"/>
      <c r="N22" s="410">
        <f>A22/E22*100</f>
        <v>20.710059171597635</v>
      </c>
      <c r="O22" s="320" t="s">
        <v>50</v>
      </c>
    </row>
    <row r="29" spans="1:16" x14ac:dyDescent="0.25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305"/>
      <c r="L29" s="305"/>
      <c r="M29" s="305"/>
      <c r="N29" s="305"/>
      <c r="O29" s="305"/>
      <c r="P29" s="305"/>
    </row>
    <row r="30" spans="1:16" x14ac:dyDescent="0.25">
      <c r="A30" s="305"/>
      <c r="B30" s="305"/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</row>
    <row r="31" spans="1:16" x14ac:dyDescent="0.25">
      <c r="A31" s="304"/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4"/>
    </row>
    <row r="32" spans="1:16" x14ac:dyDescent="0.25">
      <c r="A32" s="305"/>
      <c r="B32" s="305"/>
      <c r="C32" s="305"/>
      <c r="D32" s="305"/>
      <c r="E32" s="305"/>
      <c r="F32" s="305"/>
      <c r="G32" s="305"/>
      <c r="H32" s="305"/>
      <c r="I32" s="305"/>
      <c r="J32" s="305"/>
      <c r="K32" s="305"/>
      <c r="L32" s="305"/>
      <c r="M32" s="305"/>
      <c r="N32" s="305"/>
      <c r="O32" s="305"/>
      <c r="P32" s="305"/>
    </row>
    <row r="33" spans="1:16" x14ac:dyDescent="0.25">
      <c r="A33" s="304"/>
      <c r="B33" s="305"/>
      <c r="C33" s="305"/>
      <c r="D33" s="305"/>
      <c r="E33" s="290"/>
      <c r="F33" s="305"/>
      <c r="G33" s="305"/>
      <c r="H33" s="305"/>
      <c r="I33" s="305"/>
      <c r="J33" s="305"/>
      <c r="K33" s="305"/>
      <c r="L33" s="305"/>
      <c r="M33" s="305"/>
      <c r="N33" s="291"/>
      <c r="O33" s="304"/>
      <c r="P33" s="305"/>
    </row>
    <row r="34" spans="1:16" x14ac:dyDescent="0.25">
      <c r="A34" s="305"/>
      <c r="B34" s="305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305"/>
    </row>
    <row r="35" spans="1:16" x14ac:dyDescent="0.25">
      <c r="A35" s="305"/>
      <c r="B35" s="305"/>
      <c r="C35" s="305"/>
      <c r="D35" s="305"/>
      <c r="E35" s="305"/>
      <c r="F35" s="305"/>
      <c r="G35" s="305"/>
      <c r="H35" s="305"/>
      <c r="I35" s="305"/>
      <c r="J35" s="305"/>
      <c r="K35" s="305"/>
      <c r="L35" s="305"/>
      <c r="M35" s="305"/>
      <c r="N35" s="305"/>
      <c r="O35" s="305"/>
      <c r="P35" s="305"/>
    </row>
    <row r="36" spans="1:16" x14ac:dyDescent="0.25">
      <c r="A36" s="305"/>
      <c r="B36" s="305"/>
      <c r="C36" s="305"/>
      <c r="D36" s="305"/>
      <c r="E36" s="305"/>
      <c r="F36" s="305"/>
      <c r="G36" s="305"/>
      <c r="H36" s="305"/>
      <c r="I36" s="305"/>
      <c r="J36" s="305"/>
      <c r="K36" s="305"/>
      <c r="L36" s="305"/>
      <c r="M36" s="305"/>
      <c r="N36" s="305"/>
      <c r="O36" s="305"/>
      <c r="P36" s="305"/>
    </row>
    <row r="37" spans="1:16" x14ac:dyDescent="0.25">
      <c r="A37" s="305"/>
      <c r="B37" s="305"/>
      <c r="C37" s="305"/>
      <c r="D37" s="305"/>
      <c r="E37" s="305"/>
      <c r="F37" s="305"/>
      <c r="G37" s="305"/>
      <c r="H37" s="305"/>
      <c r="I37" s="305"/>
      <c r="J37" s="305"/>
      <c r="K37" s="305"/>
      <c r="L37" s="305"/>
      <c r="M37" s="305"/>
      <c r="N37" s="305"/>
      <c r="O37" s="305"/>
      <c r="P37" s="305"/>
    </row>
  </sheetData>
  <customSheetViews>
    <customSheetView guid="{0224233B-564D-4BBC-A6B2-E639E6D2CFB3}" showPageBreak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92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view="pageLayout" zoomScaleNormal="100" zoomScaleSheetLayoutView="100" workbookViewId="0">
      <selection activeCell="A2" sqref="A2"/>
    </sheetView>
  </sheetViews>
  <sheetFormatPr baseColWidth="10" defaultRowHeight="13.5" x14ac:dyDescent="0.25"/>
  <cols>
    <col min="1" max="1" width="25.28515625" style="3" customWidth="1"/>
    <col min="2" max="17" width="7.28515625" style="3" customWidth="1"/>
    <col min="18" max="16384" width="11.42578125" style="3"/>
  </cols>
  <sheetData>
    <row r="1" spans="1:17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Q1" s="261" t="s">
        <v>204</v>
      </c>
    </row>
    <row r="2" spans="1:17" ht="15.75" x14ac:dyDescent="0.25">
      <c r="A2" s="312" t="s">
        <v>139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7" ht="14.25" thickBot="1" x14ac:dyDescent="0.3"/>
    <row r="5" spans="1:17" s="445" customFormat="1" ht="150" customHeight="1" thickBot="1" x14ac:dyDescent="0.25">
      <c r="A5" s="411" t="s">
        <v>140</v>
      </c>
      <c r="B5" s="412" t="s">
        <v>102</v>
      </c>
      <c r="C5" s="412" t="s">
        <v>103</v>
      </c>
      <c r="D5" s="412" t="s">
        <v>104</v>
      </c>
      <c r="E5" s="412" t="s">
        <v>105</v>
      </c>
      <c r="F5" s="412" t="s">
        <v>106</v>
      </c>
      <c r="G5" s="412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19" t="s">
        <v>113</v>
      </c>
      <c r="N5" s="412" t="s">
        <v>114</v>
      </c>
      <c r="O5" s="419" t="s">
        <v>115</v>
      </c>
    </row>
    <row r="6" spans="1:17" ht="19.5" customHeight="1" thickBot="1" x14ac:dyDescent="0.3">
      <c r="A6" s="331" t="s">
        <v>36</v>
      </c>
      <c r="B6" s="157">
        <f>'Anlage 6.12'!B6+'Anlage 6.16'!B6</f>
        <v>9</v>
      </c>
      <c r="C6" s="157">
        <f>'Anlage 6.12'!C6+'Anlage 6.16'!C6</f>
        <v>0</v>
      </c>
      <c r="D6" s="157">
        <f>'Anlage 6.12'!D6+'Anlage 6.16'!D6</f>
        <v>1</v>
      </c>
      <c r="E6" s="157">
        <f>'Anlage 6.12'!E6+'Anlage 6.16'!E6</f>
        <v>0</v>
      </c>
      <c r="F6" s="157">
        <f>'Anlage 6.12'!F6+'Anlage 6.16'!F6</f>
        <v>10</v>
      </c>
      <c r="G6" s="157">
        <f>'Anlage 6.12'!G6+'Anlage 6.16'!G6</f>
        <v>1</v>
      </c>
      <c r="H6" s="335">
        <f>'Anlage 6.12'!H6+'Anlage 6.16'!H6</f>
        <v>11</v>
      </c>
      <c r="I6" s="157">
        <f>'Anlage 6.12'!I6+'Anlage 6.16'!I6</f>
        <v>0</v>
      </c>
      <c r="J6" s="157">
        <f>'Anlage 6.12'!J6+'Anlage 6.16'!J6</f>
        <v>3</v>
      </c>
      <c r="K6" s="157">
        <f>'Anlage 6.12'!K6+'Anlage 6.16'!K6</f>
        <v>0</v>
      </c>
      <c r="L6" s="434">
        <f>'Anlage 6.12'!L6+'Anlage 6.16'!L6</f>
        <v>0</v>
      </c>
      <c r="M6" s="456">
        <f>'Anlage 6.12'!M6+'Anlage 6.16'!M6</f>
        <v>14</v>
      </c>
      <c r="N6" s="435">
        <f>'Anlage 6.12'!N6+'Anlage 6.16'!N6</f>
        <v>0</v>
      </c>
      <c r="O6" s="403">
        <f>'Anlage 6.12'!O6+'Anlage 6.16'!O6</f>
        <v>14</v>
      </c>
    </row>
    <row r="7" spans="1:17" s="123" customFormat="1" ht="19.5" customHeight="1" thickBot="1" x14ac:dyDescent="0.3">
      <c r="A7" s="339" t="s">
        <v>38</v>
      </c>
      <c r="B7" s="184">
        <f>'Anlage 6.12'!B7+'Anlage 6.16'!B7</f>
        <v>9</v>
      </c>
      <c r="C7" s="184">
        <f>'Anlage 6.12'!C7+'Anlage 6.16'!C7</f>
        <v>0</v>
      </c>
      <c r="D7" s="184">
        <f>'Anlage 6.12'!D7+'Anlage 6.16'!D7</f>
        <v>1</v>
      </c>
      <c r="E7" s="184">
        <f>'Anlage 6.12'!E7+'Anlage 6.16'!E7</f>
        <v>0</v>
      </c>
      <c r="F7" s="184">
        <f>'Anlage 6.12'!F7+'Anlage 6.16'!F7</f>
        <v>10</v>
      </c>
      <c r="G7" s="184">
        <f>'Anlage 6.12'!G7+'Anlage 6.16'!G7</f>
        <v>1</v>
      </c>
      <c r="H7" s="319">
        <f>'Anlage 6.12'!H7+'Anlage 6.16'!H7</f>
        <v>11</v>
      </c>
      <c r="I7" s="184">
        <f>'Anlage 6.12'!I7+'Anlage 6.16'!I7</f>
        <v>0</v>
      </c>
      <c r="J7" s="184">
        <f>'Anlage 6.12'!J7+'Anlage 6.16'!J7</f>
        <v>3</v>
      </c>
      <c r="K7" s="184">
        <f>'Anlage 6.12'!K7+'Anlage 6.16'!K7</f>
        <v>0</v>
      </c>
      <c r="L7" s="249">
        <f>'Anlage 6.12'!L7+'Anlage 6.16'!L7</f>
        <v>0</v>
      </c>
      <c r="M7" s="319">
        <f>'Anlage 6.12'!M7+'Anlage 6.16'!M7</f>
        <v>14</v>
      </c>
      <c r="N7" s="337">
        <f>'Anlage 6.12'!N7+'Anlage 6.16'!N7</f>
        <v>0</v>
      </c>
      <c r="O7" s="319">
        <f>'Anlage 6.12'!O7+'Anlage 6.16'!O7</f>
        <v>14</v>
      </c>
    </row>
    <row r="8" spans="1:17" s="123" customFormat="1" ht="18" customHeight="1" thickBot="1" x14ac:dyDescent="0.3">
      <c r="A8" s="205" t="s">
        <v>56</v>
      </c>
      <c r="B8" s="234">
        <f>'Anlage 6.12'!B8+'Anlage 6.16'!B8</f>
        <v>41</v>
      </c>
      <c r="C8" s="234">
        <f>'Anlage 6.12'!C8+'Anlage 6.16'!C8</f>
        <v>5</v>
      </c>
      <c r="D8" s="234">
        <f>'Anlage 6.12'!D8+'Anlage 6.16'!D8</f>
        <v>30</v>
      </c>
      <c r="E8" s="234">
        <f>'Anlage 6.12'!E8+'Anlage 6.16'!E8</f>
        <v>36</v>
      </c>
      <c r="F8" s="234">
        <f>'Anlage 6.12'!F8+'Anlage 6.16'!F8</f>
        <v>112</v>
      </c>
      <c r="G8" s="234">
        <f>'Anlage 6.12'!G8+'Anlage 6.16'!G8</f>
        <v>2</v>
      </c>
      <c r="H8" s="398">
        <f>'Anlage 6.12'!H8+'Anlage 6.16'!H8</f>
        <v>114</v>
      </c>
      <c r="I8" s="234">
        <f>'Anlage 6.12'!I8+'Anlage 6.16'!I8</f>
        <v>6</v>
      </c>
      <c r="J8" s="234">
        <f>'Anlage 6.12'!J8+'Anlage 6.16'!J8</f>
        <v>5</v>
      </c>
      <c r="K8" s="234">
        <f>'Anlage 6.12'!K8+'Anlage 6.16'!K8</f>
        <v>1</v>
      </c>
      <c r="L8" s="432">
        <f>'Anlage 6.12'!L8+'Anlage 6.16'!L8</f>
        <v>2</v>
      </c>
      <c r="M8" s="398">
        <f>'Anlage 6.12'!M8+'Anlage 6.16'!M8</f>
        <v>128</v>
      </c>
      <c r="N8" s="433">
        <f>'Anlage 6.12'!N8+'Anlage 6.16'!N8</f>
        <v>0</v>
      </c>
      <c r="O8" s="398">
        <f>'Anlage 6.12'!O8+'Anlage 6.16'!O8</f>
        <v>128</v>
      </c>
    </row>
    <row r="9" spans="1:17" s="123" customFormat="1" ht="19.5" hidden="1" customHeight="1" thickBot="1" x14ac:dyDescent="0.3">
      <c r="A9" s="662" t="s">
        <v>177</v>
      </c>
      <c r="B9" s="671"/>
      <c r="C9" s="671"/>
      <c r="D9" s="671"/>
      <c r="E9" s="671"/>
      <c r="F9" s="671"/>
      <c r="G9" s="671"/>
      <c r="H9" s="817"/>
      <c r="I9" s="671"/>
      <c r="J9" s="671"/>
      <c r="K9" s="671"/>
      <c r="L9" s="818"/>
      <c r="M9" s="817"/>
      <c r="N9" s="816"/>
      <c r="O9" s="817"/>
    </row>
    <row r="10" spans="1:17" s="123" customFormat="1" ht="20.100000000000001" customHeight="1" thickBot="1" x14ac:dyDescent="0.3">
      <c r="A10" s="318" t="s">
        <v>55</v>
      </c>
      <c r="B10" s="184">
        <f>'Anlage 6.12'!B10+'Anlage 6.16'!B10</f>
        <v>41</v>
      </c>
      <c r="C10" s="184">
        <f>'Anlage 6.12'!C10+'Anlage 6.16'!C10</f>
        <v>5</v>
      </c>
      <c r="D10" s="184">
        <f>'Anlage 6.12'!D10+'Anlage 6.16'!D10</f>
        <v>30</v>
      </c>
      <c r="E10" s="184">
        <f>'Anlage 6.12'!E10+'Anlage 6.16'!E10</f>
        <v>36</v>
      </c>
      <c r="F10" s="184">
        <f>'Anlage 6.12'!F10+'Anlage 6.16'!F10</f>
        <v>112</v>
      </c>
      <c r="G10" s="184">
        <f>'Anlage 6.12'!G10+'Anlage 6.16'!G10</f>
        <v>2</v>
      </c>
      <c r="H10" s="319">
        <f>'Anlage 6.12'!H10+'Anlage 6.16'!H10</f>
        <v>114</v>
      </c>
      <c r="I10" s="184">
        <f>'Anlage 6.12'!I10+'Anlage 6.16'!I10</f>
        <v>6</v>
      </c>
      <c r="J10" s="184">
        <f>'Anlage 6.12'!J10+'Anlage 6.16'!J10</f>
        <v>5</v>
      </c>
      <c r="K10" s="184">
        <f>'Anlage 6.12'!K10+'Anlage 6.16'!K10</f>
        <v>1</v>
      </c>
      <c r="L10" s="249">
        <f>'Anlage 6.12'!L10+'Anlage 6.16'!L10</f>
        <v>2</v>
      </c>
      <c r="M10" s="319">
        <f>'Anlage 6.12'!M10+'Anlage 6.16'!M10</f>
        <v>128</v>
      </c>
      <c r="N10" s="337">
        <f>'Anlage 6.12'!N10+'Anlage 6.16'!N10</f>
        <v>0</v>
      </c>
      <c r="O10" s="319">
        <f>'Anlage 6.12'!O10+'Anlage 6.16'!O10</f>
        <v>128</v>
      </c>
    </row>
    <row r="11" spans="1:17" ht="16.5" customHeight="1" x14ac:dyDescent="0.25">
      <c r="A11" s="448" t="s">
        <v>39</v>
      </c>
      <c r="B11" s="234">
        <f>'Anlage 6.12'!B11+'Anlage 6.16'!B11</f>
        <v>24</v>
      </c>
      <c r="C11" s="234">
        <f>'Anlage 6.12'!C11+'Anlage 6.16'!C11</f>
        <v>13</v>
      </c>
      <c r="D11" s="234">
        <f>'Anlage 6.12'!D11+'Anlage 6.16'!D11</f>
        <v>23</v>
      </c>
      <c r="E11" s="234">
        <f>'Anlage 6.12'!E11+'Anlage 6.16'!E11</f>
        <v>4</v>
      </c>
      <c r="F11" s="234">
        <f>'Anlage 6.12'!F11+'Anlage 6.16'!F11</f>
        <v>64</v>
      </c>
      <c r="G11" s="234">
        <f>'Anlage 6.12'!G11+'Anlage 6.16'!G11</f>
        <v>1</v>
      </c>
      <c r="H11" s="398">
        <f>'Anlage 6.12'!H11+'Anlage 6.16'!H11</f>
        <v>65</v>
      </c>
      <c r="I11" s="234">
        <f>'Anlage 6.12'!I11+'Anlage 6.16'!I11</f>
        <v>20</v>
      </c>
      <c r="J11" s="234">
        <f>'Anlage 6.12'!J11+'Anlage 6.16'!J11</f>
        <v>1</v>
      </c>
      <c r="K11" s="234">
        <f>'Anlage 6.12'!K11+'Anlage 6.16'!K11</f>
        <v>2</v>
      </c>
      <c r="L11" s="432">
        <f>'Anlage 6.12'!L11+'Anlage 6.16'!L11</f>
        <v>1</v>
      </c>
      <c r="M11" s="398">
        <f>'Anlage 6.12'!M11+'Anlage 6.16'!M11</f>
        <v>89</v>
      </c>
      <c r="N11" s="433">
        <f>'Anlage 6.12'!N11+'Anlage 6.16'!N11</f>
        <v>8</v>
      </c>
      <c r="O11" s="398">
        <f>'Anlage 6.12'!O11+'Anlage 6.16'!O11</f>
        <v>97</v>
      </c>
    </row>
    <row r="12" spans="1:17" ht="17.25" customHeight="1" x14ac:dyDescent="0.25">
      <c r="A12" s="331" t="s">
        <v>40</v>
      </c>
      <c r="B12" s="157">
        <f>'Anlage 6.12'!B12+'Anlage 6.16'!B12</f>
        <v>18</v>
      </c>
      <c r="C12" s="157">
        <f>'Anlage 6.12'!C12+'Anlage 6.16'!C12</f>
        <v>38</v>
      </c>
      <c r="D12" s="157">
        <f>'Anlage 6.12'!D12+'Anlage 6.16'!D12</f>
        <v>26</v>
      </c>
      <c r="E12" s="157">
        <f>'Anlage 6.12'!E12+'Anlage 6.16'!E12</f>
        <v>18</v>
      </c>
      <c r="F12" s="157">
        <f>'Anlage 6.12'!F12+'Anlage 6.16'!F12</f>
        <v>100</v>
      </c>
      <c r="G12" s="157">
        <f>'Anlage 6.12'!G12+'Anlage 6.16'!G12</f>
        <v>2</v>
      </c>
      <c r="H12" s="335">
        <f>'Anlage 6.12'!H12+'Anlage 6.16'!H12</f>
        <v>102</v>
      </c>
      <c r="I12" s="157">
        <f>'Anlage 6.12'!I12+'Anlage 6.16'!I12</f>
        <v>46</v>
      </c>
      <c r="J12" s="157">
        <f>'Anlage 6.12'!J12+'Anlage 6.16'!J12</f>
        <v>10</v>
      </c>
      <c r="K12" s="157">
        <f>'Anlage 6.12'!K12+'Anlage 6.16'!K12</f>
        <v>12</v>
      </c>
      <c r="L12" s="434">
        <f>'Anlage 6.12'!L12+'Anlage 6.16'!L12</f>
        <v>5</v>
      </c>
      <c r="M12" s="335">
        <f>'Anlage 6.12'!M12+'Anlage 6.16'!M12</f>
        <v>175</v>
      </c>
      <c r="N12" s="435">
        <f>'Anlage 6.12'!N12+'Anlage 6.16'!N12</f>
        <v>45</v>
      </c>
      <c r="O12" s="335">
        <f>'Anlage 6.12'!O12+'Anlage 6.16'!O12</f>
        <v>220</v>
      </c>
    </row>
    <row r="13" spans="1:17" ht="16.5" customHeight="1" x14ac:dyDescent="0.25">
      <c r="A13" s="331" t="s">
        <v>41</v>
      </c>
      <c r="B13" s="157">
        <f>'Anlage 6.12'!B13+'Anlage 6.16'!B13</f>
        <v>8</v>
      </c>
      <c r="C13" s="157">
        <f>'Anlage 6.12'!C13+'Anlage 6.16'!C13</f>
        <v>0</v>
      </c>
      <c r="D13" s="157">
        <f>'Anlage 6.12'!D13+'Anlage 6.16'!D13</f>
        <v>72</v>
      </c>
      <c r="E13" s="157">
        <f>'Anlage 6.12'!E13+'Anlage 6.16'!E13</f>
        <v>1</v>
      </c>
      <c r="F13" s="157">
        <f>'Anlage 6.12'!F13+'Anlage 6.16'!F13</f>
        <v>81</v>
      </c>
      <c r="G13" s="157">
        <f>'Anlage 6.12'!G13+'Anlage 6.16'!G13</f>
        <v>1</v>
      </c>
      <c r="H13" s="335">
        <f>'Anlage 6.12'!H13+'Anlage 6.16'!H13</f>
        <v>82</v>
      </c>
      <c r="I13" s="157">
        <f>'Anlage 6.12'!I13+'Anlage 6.16'!I13</f>
        <v>17</v>
      </c>
      <c r="J13" s="157">
        <f>'Anlage 6.12'!J13+'Anlage 6.16'!J13</f>
        <v>0</v>
      </c>
      <c r="K13" s="157">
        <f>'Anlage 6.12'!K13+'Anlage 6.16'!K13</f>
        <v>0</v>
      </c>
      <c r="L13" s="434">
        <f>'Anlage 6.12'!L13+'Anlage 6.16'!L13</f>
        <v>5</v>
      </c>
      <c r="M13" s="335">
        <f>'Anlage 6.12'!M13+'Anlage 6.16'!M13</f>
        <v>104</v>
      </c>
      <c r="N13" s="435">
        <f>'Anlage 6.12'!N13+'Anlage 6.16'!N13</f>
        <v>8</v>
      </c>
      <c r="O13" s="335">
        <f>'Anlage 6.12'!O13+'Anlage 6.16'!O13</f>
        <v>112</v>
      </c>
    </row>
    <row r="14" spans="1:17" ht="17.25" customHeight="1" thickBot="1" x14ac:dyDescent="0.3">
      <c r="A14" s="449" t="s">
        <v>42</v>
      </c>
      <c r="B14" s="264">
        <f>'Anlage 6.12'!B14+'Anlage 6.16'!B14</f>
        <v>4</v>
      </c>
      <c r="C14" s="264">
        <f>'Anlage 6.12'!C14+'Anlage 6.16'!C14</f>
        <v>35</v>
      </c>
      <c r="D14" s="264">
        <f>'Anlage 6.12'!D14+'Anlage 6.16'!D14</f>
        <v>1</v>
      </c>
      <c r="E14" s="264">
        <f>'Anlage 6.12'!E14+'Anlage 6.16'!E14</f>
        <v>2</v>
      </c>
      <c r="F14" s="264">
        <f>'Anlage 6.12'!F14+'Anlage 6.16'!F14</f>
        <v>42</v>
      </c>
      <c r="G14" s="264">
        <f>'Anlage 6.12'!G14+'Anlage 6.16'!G14</f>
        <v>2</v>
      </c>
      <c r="H14" s="397">
        <f>'Anlage 6.12'!H14+'Anlage 6.16'!H14</f>
        <v>44</v>
      </c>
      <c r="I14" s="264">
        <f>'Anlage 6.12'!I14+'Anlage 6.16'!I14</f>
        <v>10</v>
      </c>
      <c r="J14" s="264">
        <f>'Anlage 6.12'!J14+'Anlage 6.16'!J14</f>
        <v>39</v>
      </c>
      <c r="K14" s="264">
        <f>'Anlage 6.12'!K14+'Anlage 6.16'!K14</f>
        <v>69</v>
      </c>
      <c r="L14" s="437">
        <f>'Anlage 6.12'!L14+'Anlage 6.16'!L14</f>
        <v>1</v>
      </c>
      <c r="M14" s="397">
        <f>'Anlage 6.12'!M14+'Anlage 6.16'!M14</f>
        <v>163</v>
      </c>
      <c r="N14" s="438">
        <f>'Anlage 6.12'!N14+'Anlage 6.16'!N14</f>
        <v>3</v>
      </c>
      <c r="O14" s="397">
        <f>'Anlage 6.12'!O14+'Anlage 6.16'!O14</f>
        <v>166</v>
      </c>
    </row>
    <row r="15" spans="1:17" s="123" customFormat="1" ht="20.100000000000001" customHeight="1" thickBot="1" x14ac:dyDescent="0.3">
      <c r="A15" s="339" t="s">
        <v>43</v>
      </c>
      <c r="B15" s="184">
        <f>'Anlage 6.12'!B15+'Anlage 6.16'!B15</f>
        <v>54</v>
      </c>
      <c r="C15" s="184">
        <f>'Anlage 6.12'!C15+'Anlage 6.16'!C15</f>
        <v>86</v>
      </c>
      <c r="D15" s="184">
        <f>'Anlage 6.12'!D15+'Anlage 6.16'!D15</f>
        <v>122</v>
      </c>
      <c r="E15" s="184">
        <f>'Anlage 6.12'!E15+'Anlage 6.16'!E15</f>
        <v>25</v>
      </c>
      <c r="F15" s="184">
        <f>'Anlage 6.12'!F15+'Anlage 6.16'!F15</f>
        <v>287</v>
      </c>
      <c r="G15" s="184">
        <f>'Anlage 6.12'!G15+'Anlage 6.16'!G15</f>
        <v>6</v>
      </c>
      <c r="H15" s="319">
        <f>'Anlage 6.12'!H15+'Anlage 6.16'!H15</f>
        <v>293</v>
      </c>
      <c r="I15" s="184">
        <f>'Anlage 6.12'!I15+'Anlage 6.16'!I15</f>
        <v>93</v>
      </c>
      <c r="J15" s="184">
        <f>'Anlage 6.12'!J15+'Anlage 6.16'!J15</f>
        <v>50</v>
      </c>
      <c r="K15" s="184">
        <f>'Anlage 6.12'!K15+'Anlage 6.16'!K15</f>
        <v>83</v>
      </c>
      <c r="L15" s="249">
        <f>'Anlage 6.12'!L15+'Anlage 6.16'!L15</f>
        <v>12</v>
      </c>
      <c r="M15" s="319">
        <f>'Anlage 6.12'!M15+'Anlage 6.16'!M15</f>
        <v>531</v>
      </c>
      <c r="N15" s="337">
        <f>'Anlage 6.12'!N15+'Anlage 6.16'!N15</f>
        <v>64</v>
      </c>
      <c r="O15" s="319">
        <f>'Anlage 6.12'!O15+'Anlage 6.16'!O15</f>
        <v>595</v>
      </c>
    </row>
    <row r="16" spans="1:17" ht="18.75" customHeight="1" x14ac:dyDescent="0.25">
      <c r="A16" s="448" t="s">
        <v>44</v>
      </c>
      <c r="B16" s="234">
        <f>'Anlage 6.12'!B16+'Anlage 6.16'!B16</f>
        <v>91</v>
      </c>
      <c r="C16" s="234">
        <f>'Anlage 6.12'!C16+'Anlage 6.16'!C16</f>
        <v>2</v>
      </c>
      <c r="D16" s="234">
        <f>'Anlage 6.12'!D16+'Anlage 6.16'!D16</f>
        <v>42</v>
      </c>
      <c r="E16" s="234">
        <f>'Anlage 6.12'!E16+'Anlage 6.16'!E16</f>
        <v>2</v>
      </c>
      <c r="F16" s="234">
        <f>'Anlage 6.12'!F16+'Anlage 6.16'!F16</f>
        <v>137</v>
      </c>
      <c r="G16" s="234">
        <f>'Anlage 6.12'!G16+'Anlage 6.16'!G16</f>
        <v>5</v>
      </c>
      <c r="H16" s="398">
        <f>'Anlage 6.12'!H16+'Anlage 6.16'!H16</f>
        <v>142</v>
      </c>
      <c r="I16" s="234">
        <f>'Anlage 6.12'!I16+'Anlage 6.16'!I16</f>
        <v>11</v>
      </c>
      <c r="J16" s="234">
        <f>'Anlage 6.12'!J16+'Anlage 6.16'!J16</f>
        <v>1</v>
      </c>
      <c r="K16" s="234">
        <f>'Anlage 6.12'!K16+'Anlage 6.16'!K16</f>
        <v>3</v>
      </c>
      <c r="L16" s="432">
        <f>'Anlage 6.12'!L16+'Anlage 6.16'!L16</f>
        <v>0</v>
      </c>
      <c r="M16" s="398">
        <f>'Anlage 6.12'!M16+'Anlage 6.16'!M16</f>
        <v>157</v>
      </c>
      <c r="N16" s="433">
        <f>'Anlage 6.12'!N16+'Anlage 6.16'!N16</f>
        <v>3</v>
      </c>
      <c r="O16" s="398">
        <f>'Anlage 6.12'!O16+'Anlage 6.16'!O16</f>
        <v>160</v>
      </c>
    </row>
    <row r="17" spans="1:15" ht="17.25" customHeight="1" x14ac:dyDescent="0.25">
      <c r="A17" s="331" t="s">
        <v>52</v>
      </c>
      <c r="B17" s="157">
        <f>'Anlage 6.12'!B17+'Anlage 6.16'!B17</f>
        <v>0</v>
      </c>
      <c r="C17" s="157">
        <f>'Anlage 6.12'!C17+'Anlage 6.16'!C17</f>
        <v>3</v>
      </c>
      <c r="D17" s="157">
        <f>'Anlage 6.12'!D17+'Anlage 6.16'!D17</f>
        <v>4</v>
      </c>
      <c r="E17" s="157">
        <f>'Anlage 6.12'!E17+'Anlage 6.16'!E17</f>
        <v>0</v>
      </c>
      <c r="F17" s="157">
        <f>'Anlage 6.12'!F17+'Anlage 6.16'!F17</f>
        <v>7</v>
      </c>
      <c r="G17" s="157">
        <f>'Anlage 6.12'!G17+'Anlage 6.16'!G17</f>
        <v>0</v>
      </c>
      <c r="H17" s="335">
        <f>'Anlage 6.12'!H17+'Anlage 6.16'!H17</f>
        <v>7</v>
      </c>
      <c r="I17" s="157">
        <f>'Anlage 6.12'!I17+'Anlage 6.16'!I17</f>
        <v>16</v>
      </c>
      <c r="J17" s="157">
        <f>'Anlage 6.12'!J17+'Anlage 6.16'!J17</f>
        <v>12</v>
      </c>
      <c r="K17" s="157">
        <f>'Anlage 6.12'!K17+'Anlage 6.16'!K17</f>
        <v>1</v>
      </c>
      <c r="L17" s="434">
        <f>'Anlage 6.12'!L17+'Anlage 6.16'!L17</f>
        <v>1</v>
      </c>
      <c r="M17" s="335">
        <f>'Anlage 6.12'!M17+'Anlage 6.16'!M17</f>
        <v>37</v>
      </c>
      <c r="N17" s="435">
        <f>'Anlage 6.12'!N17+'Anlage 6.16'!N17</f>
        <v>1</v>
      </c>
      <c r="O17" s="335">
        <f>'Anlage 6.12'!O17+'Anlage 6.16'!O17</f>
        <v>38</v>
      </c>
    </row>
    <row r="18" spans="1:15" ht="18" customHeight="1" thickBot="1" x14ac:dyDescent="0.3">
      <c r="A18" s="449" t="s">
        <v>141</v>
      </c>
      <c r="B18" s="264">
        <f>'Anlage 6.12'!B18+'Anlage 6.16'!B18</f>
        <v>15</v>
      </c>
      <c r="C18" s="264">
        <f>'Anlage 6.12'!C18+'Anlage 6.16'!C18</f>
        <v>13</v>
      </c>
      <c r="D18" s="264">
        <f>'Anlage 6.12'!D18+'Anlage 6.16'!D18</f>
        <v>18</v>
      </c>
      <c r="E18" s="264">
        <f>'Anlage 6.12'!E18+'Anlage 6.16'!E18</f>
        <v>4</v>
      </c>
      <c r="F18" s="264">
        <f>'Anlage 6.12'!F18+'Anlage 6.16'!F18</f>
        <v>50</v>
      </c>
      <c r="G18" s="264">
        <f>'Anlage 6.12'!G18+'Anlage 6.16'!G18</f>
        <v>2</v>
      </c>
      <c r="H18" s="397">
        <f>'Anlage 6.12'!H18+'Anlage 6.16'!H18</f>
        <v>52</v>
      </c>
      <c r="I18" s="264">
        <f>'Anlage 6.12'!I18+'Anlage 6.16'!I18</f>
        <v>52</v>
      </c>
      <c r="J18" s="264">
        <f>'Anlage 6.12'!J18+'Anlage 6.16'!J18</f>
        <v>4</v>
      </c>
      <c r="K18" s="264">
        <f>'Anlage 6.12'!K18+'Anlage 6.16'!K18</f>
        <v>9</v>
      </c>
      <c r="L18" s="437">
        <f>'Anlage 6.12'!L18+'Anlage 6.16'!L18</f>
        <v>1</v>
      </c>
      <c r="M18" s="397">
        <f>'Anlage 6.12'!M18+'Anlage 6.16'!M18</f>
        <v>118</v>
      </c>
      <c r="N18" s="438">
        <f>'Anlage 6.12'!N18+'Anlage 6.16'!N18</f>
        <v>7</v>
      </c>
      <c r="O18" s="397">
        <f>'Anlage 6.12'!O18+'Anlage 6.16'!O18</f>
        <v>125</v>
      </c>
    </row>
    <row r="19" spans="1:15" s="123" customFormat="1" ht="20.100000000000001" customHeight="1" thickBot="1" x14ac:dyDescent="0.3">
      <c r="A19" s="339" t="s">
        <v>46</v>
      </c>
      <c r="B19" s="184">
        <f>'Anlage 6.12'!B19+'Anlage 6.16'!B19</f>
        <v>106</v>
      </c>
      <c r="C19" s="184">
        <f>'Anlage 6.12'!C19+'Anlage 6.16'!C19</f>
        <v>18</v>
      </c>
      <c r="D19" s="184">
        <f>'Anlage 6.12'!D19+'Anlage 6.16'!D19</f>
        <v>64</v>
      </c>
      <c r="E19" s="184">
        <f>'Anlage 6.12'!E19+'Anlage 6.16'!E19</f>
        <v>6</v>
      </c>
      <c r="F19" s="184">
        <f>'Anlage 6.12'!F19+'Anlage 6.16'!F19</f>
        <v>194</v>
      </c>
      <c r="G19" s="184">
        <f>'Anlage 6.12'!G19+'Anlage 6.16'!G19</f>
        <v>7</v>
      </c>
      <c r="H19" s="319">
        <f>'Anlage 6.12'!H19+'Anlage 6.16'!H19</f>
        <v>201</v>
      </c>
      <c r="I19" s="184">
        <f>'Anlage 6.12'!I19+'Anlage 6.16'!I19</f>
        <v>79</v>
      </c>
      <c r="J19" s="184">
        <f>'Anlage 6.12'!J19+'Anlage 6.16'!J19</f>
        <v>17</v>
      </c>
      <c r="K19" s="184">
        <f>'Anlage 6.12'!K19+'Anlage 6.16'!K19</f>
        <v>13</v>
      </c>
      <c r="L19" s="249">
        <f>'Anlage 6.12'!L19+'Anlage 6.16'!L19</f>
        <v>2</v>
      </c>
      <c r="M19" s="319">
        <f>'Anlage 6.12'!M19+'Anlage 6.16'!M19</f>
        <v>312</v>
      </c>
      <c r="N19" s="337">
        <f>'Anlage 6.12'!N19+'Anlage 6.16'!N19</f>
        <v>11</v>
      </c>
      <c r="O19" s="319">
        <f>'Anlage 6.12'!O19+'Anlage 6.16'!O19</f>
        <v>323</v>
      </c>
    </row>
    <row r="20" spans="1:15" s="123" customFormat="1" ht="20.100000000000001" customHeight="1" thickBot="1" x14ac:dyDescent="0.3">
      <c r="A20" s="339" t="s">
        <v>47</v>
      </c>
      <c r="B20" s="184">
        <f>'Anlage 6.12'!B20+'Anlage 6.16'!B20</f>
        <v>210</v>
      </c>
      <c r="C20" s="184">
        <f>'Anlage 6.12'!C20+'Anlage 6.16'!C20</f>
        <v>109</v>
      </c>
      <c r="D20" s="184">
        <f>'Anlage 6.12'!D20+'Anlage 6.16'!D20</f>
        <v>217</v>
      </c>
      <c r="E20" s="184">
        <f>'Anlage 6.12'!E20+'Anlage 6.16'!E20</f>
        <v>67</v>
      </c>
      <c r="F20" s="184">
        <f>'Anlage 6.12'!F20+'Anlage 6.16'!F20</f>
        <v>603</v>
      </c>
      <c r="G20" s="184">
        <f>'Anlage 6.12'!G20+'Anlage 6.16'!G20</f>
        <v>16</v>
      </c>
      <c r="H20" s="184">
        <f>'Anlage 6.12'!H20+'Anlage 6.16'!H20</f>
        <v>619</v>
      </c>
      <c r="I20" s="184">
        <f>'Anlage 6.12'!I20+'Anlage 6.16'!I20</f>
        <v>178</v>
      </c>
      <c r="J20" s="184">
        <f>'Anlage 6.12'!J20+'Anlage 6.16'!J20</f>
        <v>75</v>
      </c>
      <c r="K20" s="184">
        <f>'Anlage 6.12'!K20+'Anlage 6.16'!K20</f>
        <v>97</v>
      </c>
      <c r="L20" s="249">
        <f>'Anlage 6.12'!L20+'Anlage 6.16'!L20</f>
        <v>16</v>
      </c>
      <c r="M20" s="315">
        <f>'Anlage 6.12'!M20+'Anlage 6.16'!M20</f>
        <v>985</v>
      </c>
      <c r="N20" s="337">
        <f>'Anlage 6.12'!N20+'Anlage 6.16'!N20</f>
        <v>75</v>
      </c>
      <c r="O20" s="315">
        <f>'Anlage 6.12'!O20+'Anlage 6.16'!O20</f>
        <v>1060</v>
      </c>
    </row>
    <row r="21" spans="1:15" ht="14.25" thickBot="1" x14ac:dyDescent="0.3"/>
    <row r="22" spans="1:15" ht="14.25" thickBot="1" x14ac:dyDescent="0.3">
      <c r="A22" s="314">
        <f>O20</f>
        <v>1060</v>
      </c>
      <c r="B22" s="406" t="s">
        <v>116</v>
      </c>
      <c r="C22" s="406"/>
      <c r="D22" s="407"/>
      <c r="E22" s="454">
        <f>'Anlage 1a'!AJ41</f>
        <v>7156</v>
      </c>
      <c r="F22" s="406" t="s">
        <v>117</v>
      </c>
      <c r="G22" s="407"/>
      <c r="H22" s="406" t="s">
        <v>118</v>
      </c>
      <c r="I22" s="406"/>
      <c r="J22" s="406"/>
      <c r="K22" s="406"/>
      <c r="L22" s="406"/>
      <c r="M22" s="406"/>
      <c r="N22" s="410">
        <f>A22/E22*100</f>
        <v>14.812744550027949</v>
      </c>
      <c r="O22" s="320" t="s">
        <v>50</v>
      </c>
    </row>
    <row r="27" spans="1:15" x14ac:dyDescent="0.25">
      <c r="A27" s="3" t="s">
        <v>53</v>
      </c>
    </row>
    <row r="48" spans="19:19" x14ac:dyDescent="0.25">
      <c r="S48" s="3" t="s">
        <v>179</v>
      </c>
    </row>
  </sheetData>
  <customSheetViews>
    <customSheetView guid="{0224233B-564D-4BBC-A6B2-E639E6D2CFB3}" showPageBreaks="1" printArea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Q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65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view="pageLayout" zoomScaleNormal="100" zoomScaleSheetLayoutView="100" workbookViewId="0">
      <selection activeCell="A2" sqref="A2:Q2"/>
    </sheetView>
  </sheetViews>
  <sheetFormatPr baseColWidth="10" defaultRowHeight="13.5" x14ac:dyDescent="0.25"/>
  <cols>
    <col min="1" max="1" width="21.85546875" style="3" customWidth="1"/>
    <col min="2" max="2" width="6.28515625" style="3" customWidth="1"/>
    <col min="3" max="3" width="5.140625" style="3" customWidth="1"/>
    <col min="4" max="4" width="4.85546875" style="3" customWidth="1"/>
    <col min="5" max="5" width="7" style="3" customWidth="1"/>
    <col min="6" max="6" width="5.7109375" style="3" customWidth="1"/>
    <col min="7" max="7" width="7.140625" style="3" customWidth="1"/>
    <col min="8" max="17" width="7.28515625" style="3" customWidth="1"/>
    <col min="18" max="16384" width="11.42578125" style="3"/>
  </cols>
  <sheetData>
    <row r="1" spans="1:23" ht="15.75" x14ac:dyDescent="0.25">
      <c r="A1" s="962" t="s">
        <v>334</v>
      </c>
      <c r="B1" s="962"/>
      <c r="C1" s="962"/>
      <c r="D1" s="962"/>
      <c r="E1" s="962"/>
      <c r="F1" s="962"/>
      <c r="G1" s="962"/>
      <c r="H1" s="962"/>
      <c r="I1" s="962"/>
      <c r="J1" s="962"/>
      <c r="K1" s="962"/>
      <c r="L1" s="962"/>
      <c r="M1" s="962"/>
      <c r="N1" s="962"/>
      <c r="O1" s="962"/>
      <c r="P1" s="962"/>
      <c r="Q1" s="962"/>
      <c r="R1" s="261" t="s">
        <v>204</v>
      </c>
      <c r="S1" s="313"/>
      <c r="T1" s="313"/>
      <c r="U1" s="313"/>
      <c r="V1" s="313"/>
      <c r="W1" s="313"/>
    </row>
    <row r="2" spans="1:23" ht="15.75" x14ac:dyDescent="0.25">
      <c r="A2" s="962" t="s">
        <v>139</v>
      </c>
      <c r="B2" s="962"/>
      <c r="C2" s="962"/>
      <c r="D2" s="962"/>
      <c r="E2" s="962"/>
      <c r="F2" s="962"/>
      <c r="G2" s="962"/>
      <c r="H2" s="962"/>
      <c r="I2" s="962"/>
      <c r="J2" s="962"/>
      <c r="K2" s="962"/>
      <c r="L2" s="962"/>
      <c r="M2" s="962"/>
      <c r="N2" s="962"/>
      <c r="O2" s="962"/>
      <c r="P2" s="962"/>
      <c r="Q2" s="962"/>
      <c r="R2" s="313"/>
      <c r="S2" s="313"/>
      <c r="T2" s="313"/>
      <c r="U2" s="313"/>
      <c r="V2" s="313"/>
      <c r="W2" s="313"/>
    </row>
    <row r="3" spans="1:23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</row>
    <row r="4" spans="1:23" ht="14.25" thickBot="1" x14ac:dyDescent="0.3"/>
    <row r="5" spans="1:23" s="445" customFormat="1" ht="147.75" customHeight="1" thickBot="1" x14ac:dyDescent="0.25">
      <c r="A5" s="411" t="s">
        <v>140</v>
      </c>
      <c r="B5" s="412" t="s">
        <v>142</v>
      </c>
      <c r="C5" s="412" t="s">
        <v>143</v>
      </c>
      <c r="D5" s="468" t="s">
        <v>144</v>
      </c>
      <c r="H5" s="469"/>
      <c r="I5" s="470"/>
      <c r="J5" s="470"/>
      <c r="K5" s="470"/>
      <c r="L5" s="470"/>
      <c r="M5" s="469"/>
      <c r="N5" s="470"/>
      <c r="O5" s="469"/>
      <c r="P5" s="471"/>
    </row>
    <row r="6" spans="1:23" x14ac:dyDescent="0.25">
      <c r="A6" s="331" t="s">
        <v>36</v>
      </c>
      <c r="B6" s="238">
        <f>'Anlage 1a'!AJ27</f>
        <v>279</v>
      </c>
      <c r="C6" s="472">
        <f>'Anlage 6.17'!O6</f>
        <v>14</v>
      </c>
      <c r="D6" s="473">
        <f t="shared" ref="D6:D20" si="0">C6/B6*100</f>
        <v>5.0179211469534053</v>
      </c>
      <c r="H6" s="267"/>
      <c r="I6" s="121"/>
      <c r="J6" s="121"/>
      <c r="K6" s="121"/>
      <c r="L6" s="121"/>
      <c r="M6" s="267"/>
      <c r="N6" s="121"/>
      <c r="O6" s="267"/>
      <c r="P6" s="121"/>
    </row>
    <row r="7" spans="1:23" s="123" customFormat="1" ht="20.100000000000001" customHeight="1" x14ac:dyDescent="0.25">
      <c r="A7" s="474" t="s">
        <v>38</v>
      </c>
      <c r="B7" s="475">
        <f>'Anlage 1a'!AJ28</f>
        <v>279</v>
      </c>
      <c r="C7" s="306">
        <f>'Anlage 6.17'!O7</f>
        <v>14</v>
      </c>
      <c r="D7" s="476">
        <f t="shared" si="0"/>
        <v>5.0179211469534053</v>
      </c>
      <c r="H7" s="267"/>
      <c r="I7" s="267"/>
      <c r="J7" s="267"/>
      <c r="K7" s="267"/>
      <c r="L7" s="267"/>
      <c r="M7" s="267"/>
      <c r="N7" s="267"/>
      <c r="O7" s="267"/>
      <c r="P7" s="267"/>
    </row>
    <row r="8" spans="1:23" s="123" customFormat="1" ht="20.100000000000001" customHeight="1" x14ac:dyDescent="0.25">
      <c r="A8" s="147" t="s">
        <v>56</v>
      </c>
      <c r="B8" s="475">
        <f>'Anlage 1a'!AJ29</f>
        <v>632</v>
      </c>
      <c r="C8" s="307">
        <f>'Anlage 6.17'!O8</f>
        <v>128</v>
      </c>
      <c r="D8" s="473">
        <f t="shared" si="0"/>
        <v>20.253164556962027</v>
      </c>
      <c r="H8" s="267"/>
      <c r="I8" s="267"/>
      <c r="J8" s="267"/>
      <c r="K8" s="267"/>
      <c r="L8" s="267"/>
      <c r="M8" s="267"/>
      <c r="N8" s="267"/>
      <c r="O8" s="267"/>
      <c r="P8" s="267"/>
    </row>
    <row r="9" spans="1:23" s="123" customFormat="1" ht="20.100000000000001" hidden="1" customHeight="1" x14ac:dyDescent="0.25">
      <c r="A9" s="657" t="s">
        <v>177</v>
      </c>
      <c r="B9" s="828"/>
      <c r="C9" s="792"/>
      <c r="D9" s="829"/>
      <c r="E9" s="123">
        <v>0</v>
      </c>
      <c r="H9" s="267">
        <v>0</v>
      </c>
      <c r="I9" s="267"/>
      <c r="J9" s="267"/>
      <c r="K9" s="267"/>
      <c r="L9" s="267"/>
      <c r="M9" s="267"/>
      <c r="N9" s="267"/>
      <c r="O9" s="267"/>
      <c r="P9" s="267"/>
    </row>
    <row r="10" spans="1:23" s="123" customFormat="1" ht="20.100000000000001" customHeight="1" x14ac:dyDescent="0.25">
      <c r="A10" s="477" t="s">
        <v>55</v>
      </c>
      <c r="B10" s="475">
        <f>'Anlage 1a'!AJ31</f>
        <v>632</v>
      </c>
      <c r="C10" s="306">
        <f>'Anlage 6.17'!O10</f>
        <v>128</v>
      </c>
      <c r="D10" s="476">
        <f t="shared" si="0"/>
        <v>20.253164556962027</v>
      </c>
      <c r="H10" s="267"/>
      <c r="I10" s="267"/>
      <c r="J10" s="267"/>
      <c r="K10" s="267"/>
      <c r="L10" s="267"/>
      <c r="M10" s="267"/>
      <c r="N10" s="267"/>
      <c r="O10" s="267"/>
      <c r="P10" s="267"/>
    </row>
    <row r="11" spans="1:23" ht="20.25" customHeight="1" x14ac:dyDescent="0.25">
      <c r="A11" s="331" t="s">
        <v>39</v>
      </c>
      <c r="B11" s="475">
        <f>'Anlage 1a'!AJ32</f>
        <v>562</v>
      </c>
      <c r="C11" s="307">
        <f>'Anlage 6.17'!O11</f>
        <v>97</v>
      </c>
      <c r="D11" s="473">
        <f t="shared" si="0"/>
        <v>17.259786476868328</v>
      </c>
      <c r="H11" s="267"/>
      <c r="I11" s="121"/>
      <c r="J11" s="121"/>
      <c r="K11" s="121"/>
      <c r="L11" s="121"/>
      <c r="M11" s="267"/>
      <c r="N11" s="121"/>
      <c r="O11" s="267"/>
      <c r="P11" s="121"/>
    </row>
    <row r="12" spans="1:23" ht="17.25" customHeight="1" x14ac:dyDescent="0.25">
      <c r="A12" s="331" t="s">
        <v>40</v>
      </c>
      <c r="B12" s="475">
        <f>'Anlage 1a'!AJ33</f>
        <v>1150</v>
      </c>
      <c r="C12" s="307">
        <f>'Anlage 6.17'!O12</f>
        <v>220</v>
      </c>
      <c r="D12" s="473">
        <f t="shared" si="0"/>
        <v>19.130434782608695</v>
      </c>
      <c r="H12" s="267"/>
      <c r="I12" s="121"/>
      <c r="J12" s="121"/>
      <c r="K12" s="121"/>
      <c r="L12" s="121"/>
      <c r="M12" s="267"/>
      <c r="N12" s="121"/>
      <c r="O12" s="267"/>
      <c r="P12" s="121"/>
    </row>
    <row r="13" spans="1:23" ht="17.25" customHeight="1" x14ac:dyDescent="0.25">
      <c r="A13" s="331" t="s">
        <v>41</v>
      </c>
      <c r="B13" s="475">
        <f>'Anlage 1a'!AJ34</f>
        <v>854</v>
      </c>
      <c r="C13" s="307">
        <f>'Anlage 6.17'!O13</f>
        <v>112</v>
      </c>
      <c r="D13" s="473">
        <f t="shared" si="0"/>
        <v>13.114754098360656</v>
      </c>
      <c r="H13" s="267"/>
      <c r="I13" s="121"/>
      <c r="J13" s="121"/>
      <c r="K13" s="121"/>
      <c r="L13" s="121"/>
      <c r="M13" s="267"/>
      <c r="N13" s="121"/>
      <c r="O13" s="267"/>
      <c r="P13" s="121"/>
    </row>
    <row r="14" spans="1:23" ht="18" customHeight="1" x14ac:dyDescent="0.25">
      <c r="A14" s="331" t="s">
        <v>42</v>
      </c>
      <c r="B14" s="475">
        <f>'Anlage 1a'!AJ35</f>
        <v>761</v>
      </c>
      <c r="C14" s="307">
        <f>'Anlage 6.17'!O14</f>
        <v>166</v>
      </c>
      <c r="D14" s="473">
        <f t="shared" si="0"/>
        <v>21.813403416557161</v>
      </c>
      <c r="H14" s="267"/>
      <c r="I14" s="121"/>
      <c r="J14" s="121"/>
      <c r="K14" s="121"/>
      <c r="L14" s="121"/>
      <c r="M14" s="267"/>
      <c r="N14" s="121"/>
      <c r="O14" s="267"/>
      <c r="P14" s="121"/>
    </row>
    <row r="15" spans="1:23" s="123" customFormat="1" ht="20.100000000000001" customHeight="1" x14ac:dyDescent="0.25">
      <c r="A15" s="474" t="s">
        <v>43</v>
      </c>
      <c r="B15" s="475">
        <f>'Anlage 1a'!AJ36</f>
        <v>3327</v>
      </c>
      <c r="C15" s="306">
        <f>'Anlage 6.17'!O15</f>
        <v>595</v>
      </c>
      <c r="D15" s="476">
        <f t="shared" si="0"/>
        <v>17.883979561166218</v>
      </c>
      <c r="H15" s="267"/>
      <c r="I15" s="267"/>
      <c r="J15" s="267"/>
      <c r="K15" s="267"/>
      <c r="L15" s="267"/>
      <c r="M15" s="267"/>
      <c r="N15" s="267"/>
      <c r="O15" s="267"/>
      <c r="P15" s="267"/>
    </row>
    <row r="16" spans="1:23" ht="18" customHeight="1" x14ac:dyDescent="0.25">
      <c r="A16" s="331" t="s">
        <v>44</v>
      </c>
      <c r="B16" s="475">
        <f>'Anlage 1a'!AJ37</f>
        <v>1002</v>
      </c>
      <c r="C16" s="307">
        <f>'Anlage 6.17'!O16</f>
        <v>160</v>
      </c>
      <c r="D16" s="473">
        <f t="shared" si="0"/>
        <v>15.968063872255488</v>
      </c>
      <c r="H16" s="267"/>
      <c r="I16" s="121"/>
      <c r="J16" s="121"/>
      <c r="K16" s="121"/>
      <c r="L16" s="121"/>
      <c r="M16" s="267"/>
      <c r="N16" s="121"/>
      <c r="O16" s="267"/>
      <c r="P16" s="121"/>
    </row>
    <row r="17" spans="1:16" ht="18.75" customHeight="1" x14ac:dyDescent="0.25">
      <c r="A17" s="331" t="s">
        <v>52</v>
      </c>
      <c r="B17" s="475">
        <f>'Anlage 1a'!AJ38</f>
        <v>950</v>
      </c>
      <c r="C17" s="307">
        <f>'Anlage 6.17'!O17</f>
        <v>38</v>
      </c>
      <c r="D17" s="473">
        <f t="shared" si="0"/>
        <v>4</v>
      </c>
      <c r="H17" s="267"/>
      <c r="I17" s="267"/>
      <c r="J17" s="121"/>
      <c r="K17" s="121"/>
      <c r="L17" s="121"/>
      <c r="M17" s="267"/>
      <c r="N17" s="121"/>
      <c r="O17" s="267">
        <v>2</v>
      </c>
      <c r="P17" s="121"/>
    </row>
    <row r="18" spans="1:16" ht="18" customHeight="1" x14ac:dyDescent="0.25">
      <c r="A18" s="331" t="s">
        <v>45</v>
      </c>
      <c r="B18" s="475">
        <f>'Anlage 1a'!AJ39</f>
        <v>966</v>
      </c>
      <c r="C18" s="307">
        <f>'Anlage 6.17'!O18</f>
        <v>125</v>
      </c>
      <c r="D18" s="473">
        <f t="shared" si="0"/>
        <v>12.939958592132506</v>
      </c>
      <c r="H18" s="267"/>
      <c r="I18" s="121"/>
      <c r="J18" s="121"/>
      <c r="K18" s="121"/>
      <c r="L18" s="121"/>
      <c r="M18" s="267"/>
      <c r="N18" s="121"/>
      <c r="O18" s="267"/>
      <c r="P18" s="121"/>
    </row>
    <row r="19" spans="1:16" s="123" customFormat="1" ht="20.100000000000001" customHeight="1" thickBot="1" x14ac:dyDescent="0.3">
      <c r="A19" s="474" t="s">
        <v>46</v>
      </c>
      <c r="B19" s="241">
        <f>'Anlage 1a'!AJ40</f>
        <v>2918</v>
      </c>
      <c r="C19" s="311">
        <f>'Anlage 6.17'!O19</f>
        <v>323</v>
      </c>
      <c r="D19" s="476">
        <f t="shared" si="0"/>
        <v>11.069225496915696</v>
      </c>
      <c r="H19" s="267"/>
      <c r="I19" s="267"/>
      <c r="J19" s="267"/>
      <c r="K19" s="267"/>
      <c r="L19" s="267"/>
      <c r="M19" s="267"/>
      <c r="N19" s="267"/>
      <c r="O19" s="267"/>
      <c r="P19" s="267"/>
    </row>
    <row r="20" spans="1:16" s="123" customFormat="1" ht="20.100000000000001" customHeight="1" thickBot="1" x14ac:dyDescent="0.3">
      <c r="A20" s="339" t="s">
        <v>47</v>
      </c>
      <c r="B20" s="242">
        <f>'Anlage 1a'!AJ41</f>
        <v>7156</v>
      </c>
      <c r="C20" s="478">
        <f>C7+C10+C15+C19</f>
        <v>1060</v>
      </c>
      <c r="D20" s="322">
        <f t="shared" si="0"/>
        <v>14.812744550027949</v>
      </c>
      <c r="H20" s="267"/>
      <c r="I20" s="267"/>
      <c r="J20" s="267"/>
      <c r="K20" s="267"/>
      <c r="L20" s="267"/>
      <c r="M20" s="267"/>
      <c r="N20" s="267"/>
      <c r="O20" s="267"/>
      <c r="P20" s="267"/>
    </row>
    <row r="21" spans="1:16" x14ac:dyDescent="0.25"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</row>
    <row r="22" spans="1:16" x14ac:dyDescent="0.25">
      <c r="A22" s="123"/>
      <c r="E22" s="267"/>
      <c r="F22" s="121"/>
      <c r="G22" s="121"/>
      <c r="H22" s="121"/>
      <c r="I22" s="121"/>
      <c r="J22" s="121"/>
      <c r="K22" s="121"/>
      <c r="L22" s="121"/>
      <c r="M22" s="121"/>
      <c r="N22" s="479"/>
      <c r="O22" s="267"/>
      <c r="P22" s="121"/>
    </row>
    <row r="23" spans="1:16" x14ac:dyDescent="0.25"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</row>
  </sheetData>
  <customSheetViews>
    <customSheetView guid="{0224233B-564D-4BBC-A6B2-E639E6D2CFB3}" showPageBreak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mergeCells count="2">
    <mergeCell ref="A1:Q1"/>
    <mergeCell ref="A2:Q2"/>
  </mergeCells>
  <phoneticPr fontId="2" type="noConversion"/>
  <hyperlinks>
    <hyperlink ref="R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  <drawing r:id="rId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Layout" zoomScaleNormal="100" zoomScaleSheetLayoutView="100" workbookViewId="0">
      <selection activeCell="A2" sqref="A2"/>
    </sheetView>
  </sheetViews>
  <sheetFormatPr baseColWidth="10" defaultRowHeight="13.5" x14ac:dyDescent="0.25"/>
  <cols>
    <col min="1" max="1" width="19" style="3" customWidth="1"/>
    <col min="2" max="12" width="7.28515625" style="3" customWidth="1"/>
    <col min="13" max="13" width="7.7109375" style="3" customWidth="1"/>
    <col min="14" max="17" width="7.28515625" style="3" customWidth="1"/>
    <col min="18" max="16384" width="11.42578125" style="3"/>
  </cols>
  <sheetData>
    <row r="1" spans="1:18" ht="15.75" x14ac:dyDescent="0.25">
      <c r="A1" s="312" t="s">
        <v>334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R1" s="261" t="s">
        <v>204</v>
      </c>
    </row>
    <row r="2" spans="1:18" ht="15.75" x14ac:dyDescent="0.25">
      <c r="A2" s="312" t="s">
        <v>139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4" spans="1:18" s="480" customFormat="1" ht="14.25" thickBot="1" x14ac:dyDescent="0.3">
      <c r="B4" s="481">
        <v>1</v>
      </c>
      <c r="C4" s="481">
        <v>2</v>
      </c>
      <c r="D4" s="481">
        <v>3</v>
      </c>
      <c r="E4" s="481">
        <v>4</v>
      </c>
      <c r="F4" s="481" t="s">
        <v>164</v>
      </c>
      <c r="G4" s="481" t="s">
        <v>165</v>
      </c>
      <c r="H4" s="481" t="s">
        <v>166</v>
      </c>
      <c r="I4" s="481" t="s">
        <v>167</v>
      </c>
      <c r="J4" s="481" t="s">
        <v>168</v>
      </c>
      <c r="K4" s="481" t="s">
        <v>169</v>
      </c>
      <c r="L4" s="481" t="s">
        <v>170</v>
      </c>
      <c r="M4" s="481" t="s">
        <v>181</v>
      </c>
      <c r="N4" s="481" t="s">
        <v>171</v>
      </c>
      <c r="O4" s="481" t="s">
        <v>172</v>
      </c>
      <c r="P4" s="481"/>
    </row>
    <row r="5" spans="1:18" s="445" customFormat="1" ht="200.1" customHeight="1" thickBot="1" x14ac:dyDescent="0.25">
      <c r="A5" s="411" t="s">
        <v>19</v>
      </c>
      <c r="B5" s="412" t="s">
        <v>102</v>
      </c>
      <c r="C5" s="412" t="s">
        <v>103</v>
      </c>
      <c r="D5" s="412" t="s">
        <v>104</v>
      </c>
      <c r="E5" s="412" t="s">
        <v>105</v>
      </c>
      <c r="F5" s="414" t="s">
        <v>106</v>
      </c>
      <c r="G5" s="412" t="s">
        <v>107</v>
      </c>
      <c r="H5" s="416" t="s">
        <v>108</v>
      </c>
      <c r="I5" s="412" t="s">
        <v>109</v>
      </c>
      <c r="J5" s="412" t="s">
        <v>110</v>
      </c>
      <c r="K5" s="412" t="s">
        <v>111</v>
      </c>
      <c r="L5" s="412" t="s">
        <v>112</v>
      </c>
      <c r="M5" s="482" t="s">
        <v>182</v>
      </c>
      <c r="N5" s="412" t="s">
        <v>114</v>
      </c>
      <c r="O5" s="416" t="s">
        <v>115</v>
      </c>
    </row>
    <row r="6" spans="1:18" ht="20.100000000000001" customHeight="1" x14ac:dyDescent="0.25">
      <c r="A6" s="446" t="s">
        <v>173</v>
      </c>
      <c r="B6" s="371">
        <f>'Anlage 6.17'!B20</f>
        <v>210</v>
      </c>
      <c r="C6" s="371">
        <f>'Anlage 6.17'!C20</f>
        <v>109</v>
      </c>
      <c r="D6" s="371">
        <f>'Anlage 6.17'!D20</f>
        <v>217</v>
      </c>
      <c r="E6" s="371">
        <f>'Anlage 6.17'!E20</f>
        <v>67</v>
      </c>
      <c r="F6" s="450">
        <f>'Anlage 6.17'!F20</f>
        <v>603</v>
      </c>
      <c r="G6" s="371">
        <f>'Anlage 6.17'!G20</f>
        <v>16</v>
      </c>
      <c r="H6" s="450">
        <f>'Anlage 6.17'!H20</f>
        <v>619</v>
      </c>
      <c r="I6" s="371">
        <f>'Anlage 6.17'!I20</f>
        <v>178</v>
      </c>
      <c r="J6" s="371">
        <f>'Anlage 6.17'!J20</f>
        <v>75</v>
      </c>
      <c r="K6" s="371">
        <f>'Anlage 6.17'!K20</f>
        <v>97</v>
      </c>
      <c r="L6" s="371">
        <f>'Anlage 6.17'!L20</f>
        <v>16</v>
      </c>
      <c r="M6" s="450">
        <f>'Anlage 6.17'!M20</f>
        <v>985</v>
      </c>
      <c r="N6" s="316">
        <f>'Anlage 6.17'!N20</f>
        <v>75</v>
      </c>
      <c r="O6" s="450">
        <f>'Anlage 6.17'!O20</f>
        <v>1060</v>
      </c>
    </row>
    <row r="7" spans="1:18" s="131" customFormat="1" ht="20.100000000000001" customHeight="1" thickBot="1" x14ac:dyDescent="0.3">
      <c r="A7" s="483" t="s">
        <v>54</v>
      </c>
      <c r="B7" s="240">
        <f t="shared" ref="B7:O7" si="0">B6/$O$6*100</f>
        <v>19.811320754716981</v>
      </c>
      <c r="C7" s="240">
        <f t="shared" si="0"/>
        <v>10.283018867924529</v>
      </c>
      <c r="D7" s="240">
        <f t="shared" si="0"/>
        <v>20.471698113207548</v>
      </c>
      <c r="E7" s="240">
        <f t="shared" si="0"/>
        <v>6.3207547169811322</v>
      </c>
      <c r="F7" s="484">
        <f t="shared" si="0"/>
        <v>56.886792452830193</v>
      </c>
      <c r="G7" s="240">
        <f t="shared" si="0"/>
        <v>1.5094339622641511</v>
      </c>
      <c r="H7" s="484">
        <f t="shared" si="0"/>
        <v>58.396226415094347</v>
      </c>
      <c r="I7" s="240">
        <f t="shared" si="0"/>
        <v>16.79245283018868</v>
      </c>
      <c r="J7" s="240">
        <f t="shared" si="0"/>
        <v>7.0754716981132075</v>
      </c>
      <c r="K7" s="240">
        <f t="shared" si="0"/>
        <v>9.1509433962264151</v>
      </c>
      <c r="L7" s="240">
        <f t="shared" si="0"/>
        <v>1.5094339622641511</v>
      </c>
      <c r="M7" s="484">
        <f t="shared" si="0"/>
        <v>92.924528301886795</v>
      </c>
      <c r="N7" s="240">
        <f t="shared" si="0"/>
        <v>7.0754716981132075</v>
      </c>
      <c r="O7" s="484">
        <f t="shared" si="0"/>
        <v>100</v>
      </c>
    </row>
    <row r="8" spans="1:18" x14ac:dyDescent="0.25">
      <c r="A8" s="121"/>
      <c r="B8" s="121"/>
      <c r="C8" s="121"/>
      <c r="D8" s="121"/>
      <c r="E8" s="121"/>
      <c r="F8" s="121"/>
      <c r="G8" s="121"/>
      <c r="H8" s="267"/>
      <c r="I8" s="121"/>
      <c r="J8" s="121"/>
      <c r="K8" s="121"/>
      <c r="L8" s="121"/>
      <c r="M8" s="121"/>
      <c r="N8" s="121"/>
      <c r="O8" s="267"/>
      <c r="P8" s="121"/>
    </row>
    <row r="9" spans="1:18" s="123" customFormat="1" ht="20.100000000000001" customHeight="1" x14ac:dyDescent="0.25">
      <c r="A9" s="267"/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</row>
    <row r="10" spans="1:18" s="123" customFormat="1" ht="20.100000000000001" customHeight="1" x14ac:dyDescent="0.25">
      <c r="A10" s="267"/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</row>
    <row r="11" spans="1:18" x14ac:dyDescent="0.25">
      <c r="A11" s="121"/>
      <c r="B11" s="121"/>
      <c r="C11" s="121"/>
      <c r="D11" s="121"/>
      <c r="E11" s="121"/>
      <c r="F11" s="121"/>
      <c r="G11" s="121"/>
      <c r="H11" s="267"/>
      <c r="I11" s="121"/>
      <c r="J11" s="121"/>
      <c r="K11" s="121"/>
      <c r="L11" s="121"/>
      <c r="M11" s="121"/>
      <c r="N11" s="121"/>
      <c r="O11" s="267"/>
      <c r="P11" s="121"/>
    </row>
    <row r="12" spans="1:18" x14ac:dyDescent="0.25">
      <c r="A12" s="121"/>
      <c r="B12" s="121"/>
      <c r="C12" s="121"/>
      <c r="D12" s="121"/>
      <c r="E12" s="121"/>
      <c r="F12" s="121"/>
      <c r="G12" s="121"/>
      <c r="H12" s="267"/>
      <c r="I12" s="121"/>
      <c r="J12" s="121"/>
      <c r="K12" s="121"/>
      <c r="L12" s="121"/>
      <c r="M12" s="121"/>
      <c r="N12" s="121"/>
      <c r="O12" s="267"/>
      <c r="P12" s="121"/>
    </row>
    <row r="13" spans="1:18" x14ac:dyDescent="0.25">
      <c r="A13" s="121"/>
      <c r="B13" s="121"/>
      <c r="C13" s="121"/>
      <c r="D13" s="121"/>
      <c r="E13" s="121"/>
      <c r="F13" s="121"/>
      <c r="G13" s="121"/>
      <c r="H13" s="267"/>
      <c r="I13" s="121"/>
      <c r="J13" s="121"/>
      <c r="K13" s="121"/>
      <c r="L13" s="121"/>
      <c r="M13" s="121"/>
      <c r="N13" s="121"/>
      <c r="O13" s="267"/>
      <c r="P13" s="121"/>
    </row>
    <row r="14" spans="1:18" x14ac:dyDescent="0.25">
      <c r="A14" s="121"/>
      <c r="B14" s="121"/>
      <c r="C14" s="121"/>
      <c r="D14" s="121"/>
      <c r="E14" s="121"/>
      <c r="F14" s="121"/>
      <c r="G14" s="121"/>
      <c r="H14" s="267"/>
      <c r="I14" s="121"/>
      <c r="J14" s="121"/>
      <c r="K14" s="121"/>
      <c r="L14" s="121"/>
      <c r="M14" s="121"/>
      <c r="N14" s="121"/>
      <c r="O14" s="267"/>
      <c r="P14" s="121"/>
    </row>
    <row r="15" spans="1:18" s="123" customFormat="1" ht="20.100000000000001" customHeight="1" x14ac:dyDescent="0.25">
      <c r="A15" s="267"/>
      <c r="B15" s="267"/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</row>
    <row r="16" spans="1:18" x14ac:dyDescent="0.25">
      <c r="A16" s="121"/>
      <c r="B16" s="121"/>
      <c r="C16" s="121"/>
      <c r="D16" s="121"/>
      <c r="E16" s="121"/>
      <c r="F16" s="121"/>
      <c r="G16" s="121"/>
      <c r="H16" s="267"/>
      <c r="I16" s="121"/>
      <c r="J16" s="121"/>
      <c r="K16" s="121"/>
      <c r="L16" s="121"/>
      <c r="M16" s="121"/>
      <c r="N16" s="121"/>
      <c r="O16" s="267"/>
      <c r="P16" s="121"/>
    </row>
    <row r="17" spans="1:16" x14ac:dyDescent="0.25">
      <c r="A17" s="121"/>
      <c r="B17" s="121"/>
      <c r="C17" s="121"/>
      <c r="D17" s="121"/>
      <c r="E17" s="121"/>
      <c r="F17" s="121"/>
      <c r="G17" s="121"/>
      <c r="H17" s="267"/>
      <c r="I17" s="121"/>
      <c r="J17" s="121"/>
      <c r="K17" s="121"/>
      <c r="L17" s="121"/>
      <c r="M17" s="121"/>
      <c r="N17" s="121"/>
      <c r="O17" s="267"/>
      <c r="P17" s="121"/>
    </row>
    <row r="18" spans="1:16" x14ac:dyDescent="0.25">
      <c r="A18" s="121"/>
      <c r="B18" s="121"/>
      <c r="C18" s="121"/>
      <c r="D18" s="121"/>
      <c r="E18" s="121"/>
      <c r="F18" s="121"/>
      <c r="G18" s="121"/>
      <c r="H18" s="267"/>
      <c r="I18" s="121"/>
      <c r="J18" s="121"/>
      <c r="K18" s="121"/>
      <c r="L18" s="121"/>
      <c r="M18" s="121"/>
      <c r="N18" s="121"/>
      <c r="O18" s="267"/>
      <c r="P18" s="121"/>
    </row>
    <row r="19" spans="1:16" s="123" customFormat="1" ht="20.100000000000001" customHeight="1" x14ac:dyDescent="0.25">
      <c r="A19" s="267"/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</row>
    <row r="20" spans="1:16" s="123" customFormat="1" ht="20.100000000000001" customHeight="1" x14ac:dyDescent="0.25">
      <c r="A20" s="267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</row>
    <row r="21" spans="1:16" x14ac:dyDescent="0.25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</row>
    <row r="22" spans="1:16" x14ac:dyDescent="0.25">
      <c r="A22" s="267"/>
      <c r="B22" s="121"/>
      <c r="C22" s="121"/>
      <c r="D22" s="121"/>
      <c r="E22" s="267"/>
      <c r="F22" s="121"/>
      <c r="G22" s="121"/>
      <c r="H22" s="121"/>
      <c r="I22" s="121"/>
      <c r="J22" s="121"/>
      <c r="K22" s="121"/>
      <c r="L22" s="121"/>
      <c r="M22" s="121"/>
      <c r="N22" s="479"/>
      <c r="O22" s="267"/>
      <c r="P22" s="121"/>
    </row>
    <row r="23" spans="1:16" x14ac:dyDescent="0.25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</row>
    <row r="24" spans="1:16" x14ac:dyDescent="0.2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</row>
    <row r="25" spans="1:16" x14ac:dyDescent="0.25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</row>
    <row r="26" spans="1:16" x14ac:dyDescent="0.25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</row>
    <row r="27" spans="1:16" x14ac:dyDescent="0.25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</row>
    <row r="28" spans="1:16" x14ac:dyDescent="0.25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</row>
    <row r="29" spans="1:16" x14ac:dyDescent="0.25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</row>
    <row r="30" spans="1:16" x14ac:dyDescent="0.25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</row>
    <row r="31" spans="1:16" x14ac:dyDescent="0.25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</row>
  </sheetData>
  <protectedRanges>
    <protectedRange sqref="A5" name="Bereich1"/>
  </protectedRanges>
  <customSheetViews>
    <customSheetView guid="{0224233B-564D-4BBC-A6B2-E639E6D2CFB3}" showPageBreaks="1" hiddenColumns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orientation="landscape" horizontalDpi="300" verticalDpi="300" r:id="rId1"/>
      <headerFooter alignWithMargins="0">
        <oddHeader>&amp;LFachbereich 9&amp;C&amp;A&amp;ROktober 2009</oddHeader>
        <oddFooter>Seite &amp;P&amp;R&amp;Z&amp;F</oddFooter>
      </headerFooter>
    </customSheetView>
  </customSheetViews>
  <phoneticPr fontId="2" type="noConversion"/>
  <hyperlinks>
    <hyperlink ref="R1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9"/>
  <sheetViews>
    <sheetView view="pageLayout" zoomScale="80" zoomScaleNormal="110" zoomScaleSheetLayoutView="75" zoomScalePageLayoutView="80" workbookViewId="0">
      <selection activeCell="L21" sqref="L21"/>
    </sheetView>
  </sheetViews>
  <sheetFormatPr baseColWidth="10" defaultRowHeight="13.5" x14ac:dyDescent="0.25"/>
  <cols>
    <col min="1" max="1" width="25.42578125" style="3" customWidth="1"/>
    <col min="2" max="3" width="3.5703125" style="3" hidden="1" customWidth="1"/>
    <col min="4" max="4" width="5.7109375" style="3" customWidth="1"/>
    <col min="5" max="5" width="6" style="131" customWidth="1"/>
    <col min="6" max="6" width="5.7109375" style="3" customWidth="1"/>
    <col min="7" max="7" width="6" style="131" customWidth="1"/>
    <col min="8" max="8" width="5.7109375" style="3" customWidth="1"/>
    <col min="9" max="9" width="6" style="131" customWidth="1"/>
    <col min="10" max="10" width="5.7109375" style="3" customWidth="1"/>
    <col min="11" max="11" width="6.28515625" style="131" customWidth="1"/>
    <col min="12" max="12" width="5.7109375" style="3" customWidth="1"/>
    <col min="13" max="13" width="6" style="131" customWidth="1"/>
    <col min="14" max="14" width="5.7109375" style="3" customWidth="1"/>
    <col min="15" max="15" width="6.28515625" style="131" customWidth="1"/>
    <col min="16" max="16" width="5.7109375" style="3" customWidth="1"/>
    <col min="17" max="17" width="6.28515625" style="131" customWidth="1"/>
    <col min="18" max="18" width="4.85546875" style="3" customWidth="1"/>
    <col min="19" max="19" width="6" style="131" customWidth="1"/>
    <col min="20" max="20" width="4.85546875" style="3" customWidth="1"/>
    <col min="21" max="21" width="6" style="131" customWidth="1"/>
    <col min="22" max="22" width="4.85546875" style="3" customWidth="1"/>
    <col min="23" max="23" width="6" style="131" customWidth="1"/>
    <col min="24" max="24" width="5.7109375" style="3" customWidth="1"/>
    <col min="25" max="25" width="6.28515625" style="131" customWidth="1"/>
    <col min="26" max="26" width="5.7109375" style="3" customWidth="1"/>
    <col min="27" max="27" width="6.28515625" style="131" customWidth="1"/>
    <col min="28" max="28" width="4.85546875" style="3" customWidth="1"/>
    <col min="29" max="29" width="5" style="131" customWidth="1"/>
    <col min="30" max="30" width="4.85546875" style="3" customWidth="1"/>
    <col min="31" max="31" width="5.85546875" style="131" customWidth="1"/>
    <col min="32" max="32" width="4.85546875" style="3" customWidth="1"/>
    <col min="33" max="33" width="6" style="131" customWidth="1"/>
    <col min="34" max="34" width="4.85546875" style="3" customWidth="1"/>
    <col min="35" max="35" width="6" style="131" customWidth="1"/>
    <col min="36" max="36" width="7" style="3" customWidth="1"/>
    <col min="37" max="37" width="6.28515625" style="131" customWidth="1"/>
    <col min="38" max="16384" width="11.42578125" style="3"/>
  </cols>
  <sheetData>
    <row r="1" spans="1:46" s="130" customFormat="1" ht="21" x14ac:dyDescent="0.35">
      <c r="A1" s="124" t="s">
        <v>324</v>
      </c>
      <c r="B1" s="124"/>
      <c r="C1" s="124"/>
      <c r="D1" s="125"/>
      <c r="E1" s="126"/>
      <c r="F1" s="125"/>
      <c r="G1" s="126"/>
      <c r="H1" s="125"/>
      <c r="I1" s="126"/>
      <c r="J1" s="125"/>
      <c r="K1" s="126"/>
      <c r="L1" s="125"/>
      <c r="M1" s="126"/>
      <c r="N1" s="125"/>
      <c r="O1" s="126"/>
      <c r="P1" s="125"/>
      <c r="Q1" s="126"/>
      <c r="R1" s="125"/>
      <c r="S1" s="126"/>
      <c r="T1" s="125"/>
      <c r="U1" s="126"/>
      <c r="V1" s="125"/>
      <c r="W1" s="126"/>
      <c r="X1" s="125"/>
      <c r="Y1" s="126"/>
      <c r="Z1" s="125"/>
      <c r="AA1" s="126"/>
      <c r="AB1" s="125"/>
      <c r="AC1" s="126"/>
      <c r="AD1" s="128"/>
      <c r="AE1" s="127"/>
      <c r="AF1" s="128"/>
      <c r="AG1" s="127" t="s">
        <v>53</v>
      </c>
      <c r="AH1" s="128" t="s">
        <v>53</v>
      </c>
      <c r="AI1" s="127" t="s">
        <v>53</v>
      </c>
      <c r="AJ1" s="128" t="s">
        <v>53</v>
      </c>
      <c r="AK1" s="129" t="s">
        <v>53</v>
      </c>
    </row>
    <row r="2" spans="1:46" ht="14.25" thickBot="1" x14ac:dyDescent="0.3"/>
    <row r="3" spans="1:46" ht="29.25" customHeight="1" x14ac:dyDescent="0.25">
      <c r="A3" s="132"/>
      <c r="B3" s="946"/>
      <c r="C3" s="947"/>
      <c r="D3" s="133" t="s">
        <v>5</v>
      </c>
      <c r="E3" s="134"/>
      <c r="F3" s="135" t="s">
        <v>6</v>
      </c>
      <c r="G3" s="134"/>
      <c r="H3" s="135" t="s">
        <v>7</v>
      </c>
      <c r="I3" s="134"/>
      <c r="J3" s="135" t="s">
        <v>8</v>
      </c>
      <c r="K3" s="134"/>
      <c r="L3" s="136" t="s">
        <v>9</v>
      </c>
      <c r="M3" s="137"/>
      <c r="N3" s="135" t="s">
        <v>10</v>
      </c>
      <c r="O3" s="134"/>
      <c r="P3" s="135" t="s">
        <v>11</v>
      </c>
      <c r="Q3" s="134"/>
      <c r="R3" s="135" t="s">
        <v>12</v>
      </c>
      <c r="S3" s="134"/>
      <c r="T3" s="135" t="s">
        <v>13</v>
      </c>
      <c r="U3" s="134"/>
      <c r="V3" s="135" t="s">
        <v>14</v>
      </c>
      <c r="W3" s="134"/>
      <c r="X3" s="135" t="s">
        <v>15</v>
      </c>
      <c r="Y3" s="134"/>
      <c r="Z3" s="136" t="s">
        <v>60</v>
      </c>
      <c r="AA3" s="137"/>
      <c r="AB3" s="135" t="s">
        <v>16</v>
      </c>
      <c r="AC3" s="134"/>
      <c r="AD3" s="135" t="s">
        <v>17</v>
      </c>
      <c r="AE3" s="138"/>
      <c r="AF3" s="135" t="s">
        <v>18</v>
      </c>
      <c r="AG3" s="134"/>
      <c r="AH3" s="136" t="s">
        <v>61</v>
      </c>
      <c r="AI3" s="137"/>
      <c r="AJ3" s="139" t="s">
        <v>19</v>
      </c>
      <c r="AK3" s="137"/>
      <c r="AL3" s="140"/>
      <c r="AM3" s="140"/>
      <c r="AN3" s="140"/>
      <c r="AO3" s="140"/>
      <c r="AP3" s="140"/>
      <c r="AQ3" s="140"/>
      <c r="AR3" s="140"/>
      <c r="AS3" s="140"/>
      <c r="AT3" s="140"/>
    </row>
    <row r="4" spans="1:46" ht="20.100000000000001" customHeight="1" thickBot="1" x14ac:dyDescent="0.3">
      <c r="A4" s="141"/>
      <c r="B4" s="142"/>
      <c r="C4" s="143"/>
      <c r="D4" s="144" t="s">
        <v>49</v>
      </c>
      <c r="E4" s="145" t="s">
        <v>50</v>
      </c>
      <c r="F4" s="146" t="s">
        <v>49</v>
      </c>
      <c r="G4" s="145" t="s">
        <v>50</v>
      </c>
      <c r="H4" s="146" t="s">
        <v>49</v>
      </c>
      <c r="I4" s="145" t="s">
        <v>50</v>
      </c>
      <c r="J4" s="146" t="s">
        <v>49</v>
      </c>
      <c r="K4" s="145" t="s">
        <v>50</v>
      </c>
      <c r="L4" s="142" t="s">
        <v>49</v>
      </c>
      <c r="M4" s="143" t="s">
        <v>50</v>
      </c>
      <c r="N4" s="146" t="s">
        <v>49</v>
      </c>
      <c r="O4" s="145" t="s">
        <v>50</v>
      </c>
      <c r="P4" s="146" t="s">
        <v>49</v>
      </c>
      <c r="Q4" s="145" t="s">
        <v>50</v>
      </c>
      <c r="R4" s="146" t="s">
        <v>49</v>
      </c>
      <c r="S4" s="145" t="s">
        <v>50</v>
      </c>
      <c r="T4" s="146" t="s">
        <v>49</v>
      </c>
      <c r="U4" s="145" t="s">
        <v>50</v>
      </c>
      <c r="V4" s="146" t="s">
        <v>49</v>
      </c>
      <c r="W4" s="145" t="s">
        <v>50</v>
      </c>
      <c r="X4" s="146" t="s">
        <v>49</v>
      </c>
      <c r="Y4" s="145" t="s">
        <v>50</v>
      </c>
      <c r="Z4" s="142" t="s">
        <v>49</v>
      </c>
      <c r="AA4" s="143" t="s">
        <v>50</v>
      </c>
      <c r="AB4" s="146" t="s">
        <v>49</v>
      </c>
      <c r="AC4" s="145" t="s">
        <v>50</v>
      </c>
      <c r="AD4" s="146" t="s">
        <v>49</v>
      </c>
      <c r="AE4" s="145" t="s">
        <v>50</v>
      </c>
      <c r="AF4" s="146" t="s">
        <v>49</v>
      </c>
      <c r="AG4" s="145" t="s">
        <v>50</v>
      </c>
      <c r="AH4" s="142" t="s">
        <v>49</v>
      </c>
      <c r="AI4" s="143" t="s">
        <v>50</v>
      </c>
      <c r="AJ4" s="146" t="s">
        <v>49</v>
      </c>
      <c r="AK4" s="143" t="s">
        <v>50</v>
      </c>
    </row>
    <row r="5" spans="1:46" x14ac:dyDescent="0.25">
      <c r="A5" s="147" t="s">
        <v>22</v>
      </c>
      <c r="B5" s="148"/>
      <c r="C5" s="149"/>
      <c r="D5" s="150">
        <v>0</v>
      </c>
      <c r="E5" s="151">
        <f>D5/'Anlage 1a'!D5*100</f>
        <v>0</v>
      </c>
      <c r="F5" s="150">
        <v>1</v>
      </c>
      <c r="G5" s="151">
        <f>F5/'Anlage 1a'!F5*100</f>
        <v>1.7241379310344827</v>
      </c>
      <c r="H5" s="150">
        <v>0</v>
      </c>
      <c r="I5" s="151">
        <f>H5/'Anlage 1a'!H5*100</f>
        <v>0</v>
      </c>
      <c r="J5" s="150">
        <v>0</v>
      </c>
      <c r="K5" s="151">
        <f>J5/'Anlage 1a'!J5*100</f>
        <v>0</v>
      </c>
      <c r="L5" s="152">
        <f>SUM(D5,F5,H5,J5)</f>
        <v>1</v>
      </c>
      <c r="M5" s="153">
        <f>L5/'Anlage 1a'!L5*100</f>
        <v>0.43478260869565216</v>
      </c>
      <c r="N5" s="150"/>
      <c r="O5" s="154"/>
      <c r="P5" s="150"/>
      <c r="Q5" s="154"/>
      <c r="R5" s="150"/>
      <c r="S5" s="154"/>
      <c r="T5" s="150"/>
      <c r="U5" s="154"/>
      <c r="V5" s="150"/>
      <c r="W5" s="154"/>
      <c r="X5" s="150"/>
      <c r="Y5" s="154"/>
      <c r="Z5" s="155"/>
      <c r="AA5" s="156"/>
      <c r="AB5" s="150"/>
      <c r="AC5" s="154"/>
      <c r="AD5" s="150"/>
      <c r="AE5" s="154"/>
      <c r="AF5" s="150"/>
      <c r="AG5" s="154"/>
      <c r="AH5" s="155"/>
      <c r="AI5" s="156"/>
      <c r="AJ5" s="157">
        <f>SUM(L5,Z5,AH5)</f>
        <v>1</v>
      </c>
      <c r="AK5" s="153">
        <f>AJ5/'Anlage 1a'!AJ5*100</f>
        <v>0.43478260869565216</v>
      </c>
    </row>
    <row r="6" spans="1:46" x14ac:dyDescent="0.25">
      <c r="A6" s="147" t="s">
        <v>23</v>
      </c>
      <c r="B6" s="148"/>
      <c r="C6" s="149"/>
      <c r="D6" s="150">
        <v>0</v>
      </c>
      <c r="E6" s="151">
        <f>D6/'Anlage 1a'!D6*100</f>
        <v>0</v>
      </c>
      <c r="F6" s="150">
        <v>1</v>
      </c>
      <c r="G6" s="151">
        <f>F6/'Anlage 1a'!F6*100</f>
        <v>1.6949152542372881</v>
      </c>
      <c r="H6" s="150">
        <v>0</v>
      </c>
      <c r="I6" s="151">
        <f>H6/'Anlage 1a'!H6*100</f>
        <v>0</v>
      </c>
      <c r="J6" s="150">
        <v>0</v>
      </c>
      <c r="K6" s="151">
        <f>J6/'Anlage 1a'!J6*100</f>
        <v>0</v>
      </c>
      <c r="L6" s="152">
        <f t="shared" ref="L6:L20" si="0">SUM(D6,F6,H6,J6)</f>
        <v>1</v>
      </c>
      <c r="M6" s="153">
        <f>L6/'Anlage 1a'!L6*100</f>
        <v>0.46511627906976744</v>
      </c>
      <c r="N6" s="150"/>
      <c r="O6" s="154"/>
      <c r="P6" s="150"/>
      <c r="Q6" s="154"/>
      <c r="R6" s="150"/>
      <c r="S6" s="154"/>
      <c r="T6" s="150"/>
      <c r="U6" s="154"/>
      <c r="V6" s="150"/>
      <c r="W6" s="154"/>
      <c r="X6" s="150"/>
      <c r="Y6" s="154"/>
      <c r="Z6" s="155"/>
      <c r="AA6" s="156"/>
      <c r="AB6" s="150"/>
      <c r="AC6" s="154"/>
      <c r="AD6" s="150"/>
      <c r="AE6" s="154"/>
      <c r="AF6" s="150"/>
      <c r="AG6" s="154"/>
      <c r="AH6" s="155"/>
      <c r="AI6" s="156"/>
      <c r="AJ6" s="157">
        <f>SUM(L6,Z6,AH6)</f>
        <v>1</v>
      </c>
      <c r="AK6" s="153">
        <f>AJ6/'Anlage 1a'!AJ6*100</f>
        <v>0.46511627906976744</v>
      </c>
    </row>
    <row r="7" spans="1:46" x14ac:dyDescent="0.25">
      <c r="A7" s="147" t="s">
        <v>24</v>
      </c>
      <c r="B7" s="148"/>
      <c r="C7" s="149"/>
      <c r="D7" s="150">
        <v>1</v>
      </c>
      <c r="E7" s="151">
        <f>D7/'Anlage 1a'!D7*100</f>
        <v>1.8181818181818181</v>
      </c>
      <c r="F7" s="150">
        <v>0</v>
      </c>
      <c r="G7" s="151">
        <f>F7/'Anlage 1a'!F7*100</f>
        <v>0</v>
      </c>
      <c r="H7" s="150">
        <v>2</v>
      </c>
      <c r="I7" s="151">
        <f>H7/'Anlage 1a'!H7*100</f>
        <v>4.6511627906976747</v>
      </c>
      <c r="J7" s="150">
        <v>1</v>
      </c>
      <c r="K7" s="151">
        <f>J7/'Anlage 1a'!J7*100</f>
        <v>1.6129032258064515</v>
      </c>
      <c r="L7" s="152">
        <f t="shared" si="0"/>
        <v>4</v>
      </c>
      <c r="M7" s="153">
        <f>L7/'Anlage 1a'!L7*100</f>
        <v>1.834862385321101</v>
      </c>
      <c r="N7" s="150"/>
      <c r="O7" s="154"/>
      <c r="P7" s="150"/>
      <c r="Q7" s="154"/>
      <c r="R7" s="150"/>
      <c r="S7" s="154"/>
      <c r="T7" s="150"/>
      <c r="U7" s="154"/>
      <c r="V7" s="150"/>
      <c r="W7" s="154"/>
      <c r="X7" s="150"/>
      <c r="Y7" s="154"/>
      <c r="Z7" s="155"/>
      <c r="AA7" s="156"/>
      <c r="AB7" s="150"/>
      <c r="AC7" s="154"/>
      <c r="AD7" s="150"/>
      <c r="AE7" s="154"/>
      <c r="AF7" s="150"/>
      <c r="AG7" s="154"/>
      <c r="AH7" s="155"/>
      <c r="AI7" s="156"/>
      <c r="AJ7" s="157">
        <f>SUM(L7,Z7,AH7)</f>
        <v>4</v>
      </c>
      <c r="AK7" s="153">
        <f>AJ7/'Anlage 1a'!AJ7*100</f>
        <v>1.834862385321101</v>
      </c>
    </row>
    <row r="8" spans="1:46" s="123" customFormat="1" ht="14.25" thickBot="1" x14ac:dyDescent="0.3">
      <c r="A8" s="224" t="s">
        <v>291</v>
      </c>
      <c r="B8" s="148"/>
      <c r="C8" s="149"/>
      <c r="D8" s="227">
        <v>0</v>
      </c>
      <c r="E8" s="151">
        <f>D8/'Anlage 1a'!D8*100</f>
        <v>0</v>
      </c>
      <c r="F8" s="227">
        <v>4</v>
      </c>
      <c r="G8" s="151">
        <f>F8/'Anlage 1a'!F8*100</f>
        <v>13.793103448275861</v>
      </c>
      <c r="H8" s="227">
        <v>2</v>
      </c>
      <c r="I8" s="151">
        <f>H8/'Anlage 1a'!H8*100</f>
        <v>4.2553191489361701</v>
      </c>
      <c r="J8" s="227">
        <v>2</v>
      </c>
      <c r="K8" s="151">
        <f>J8/'Anlage 1a'!J8*100</f>
        <v>4.1666666666666661</v>
      </c>
      <c r="L8" s="228">
        <f t="shared" si="0"/>
        <v>8</v>
      </c>
      <c r="M8" s="229">
        <f>L8/'Anlage 1a'!L8*100</f>
        <v>5.0632911392405067</v>
      </c>
      <c r="N8" s="227"/>
      <c r="O8" s="230"/>
      <c r="P8" s="227"/>
      <c r="Q8" s="230"/>
      <c r="R8" s="227"/>
      <c r="S8" s="230"/>
      <c r="T8" s="227"/>
      <c r="U8" s="230"/>
      <c r="V8" s="227"/>
      <c r="W8" s="230"/>
      <c r="X8" s="227"/>
      <c r="Y8" s="230"/>
      <c r="Z8" s="169"/>
      <c r="AA8" s="170"/>
      <c r="AB8" s="227"/>
      <c r="AC8" s="230"/>
      <c r="AD8" s="227"/>
      <c r="AE8" s="230"/>
      <c r="AF8" s="227"/>
      <c r="AG8" s="230"/>
      <c r="AH8" s="169"/>
      <c r="AI8" s="170"/>
      <c r="AJ8" s="157">
        <f>SUM(L8,Z8,AH8)</f>
        <v>8</v>
      </c>
      <c r="AK8" s="229">
        <f>AJ8/'Anlage 1a'!AJ8*100</f>
        <v>5.0632911392405067</v>
      </c>
    </row>
    <row r="9" spans="1:46" ht="20.100000000000001" customHeight="1" thickBot="1" x14ac:dyDescent="0.3">
      <c r="A9" s="198" t="s">
        <v>25</v>
      </c>
      <c r="B9" s="159"/>
      <c r="C9" s="160"/>
      <c r="D9" s="184">
        <f>SUM(D5,D6,D7,D8)</f>
        <v>1</v>
      </c>
      <c r="E9" s="185">
        <f>D9/'Anlage 1a'!D9*100</f>
        <v>0.52910052910052907</v>
      </c>
      <c r="F9" s="184">
        <f>SUM(F5,F6,F7,F8)</f>
        <v>6</v>
      </c>
      <c r="G9" s="185">
        <f>F9/'Anlage 1a'!F9*100</f>
        <v>2.9411764705882351</v>
      </c>
      <c r="H9" s="184">
        <f>SUM(H5,H6,H7,H8)</f>
        <v>4</v>
      </c>
      <c r="I9" s="185">
        <f>H9/'Anlage 1a'!H9*100</f>
        <v>2.0408163265306123</v>
      </c>
      <c r="J9" s="184">
        <f>SUM(J5,J6,J7,J8)</f>
        <v>3</v>
      </c>
      <c r="K9" s="185">
        <f>J9/'Anlage 1a'!J9*100</f>
        <v>1.2931034482758621</v>
      </c>
      <c r="L9" s="187">
        <f>SUM(L5,L6,L7,L8)</f>
        <v>14</v>
      </c>
      <c r="M9" s="188">
        <f>L9/'Anlage 1a'!L9*100</f>
        <v>1.705237515225335</v>
      </c>
      <c r="N9" s="200"/>
      <c r="O9" s="199"/>
      <c r="P9" s="200"/>
      <c r="Q9" s="199"/>
      <c r="R9" s="200"/>
      <c r="S9" s="199"/>
      <c r="T9" s="200"/>
      <c r="U9" s="199"/>
      <c r="V9" s="200"/>
      <c r="W9" s="199"/>
      <c r="X9" s="200"/>
      <c r="Y9" s="199"/>
      <c r="Z9" s="202"/>
      <c r="AA9" s="203"/>
      <c r="AB9" s="200"/>
      <c r="AC9" s="199"/>
      <c r="AD9" s="200"/>
      <c r="AE9" s="199"/>
      <c r="AF9" s="200"/>
      <c r="AG9" s="199"/>
      <c r="AH9" s="202"/>
      <c r="AI9" s="203"/>
      <c r="AJ9" s="184">
        <f>SUM(AJ5,AJ6,AJ7,AJ8)</f>
        <v>14</v>
      </c>
      <c r="AK9" s="188">
        <f>AJ9/'Anlage 1a'!AJ9*100</f>
        <v>1.705237515225335</v>
      </c>
    </row>
    <row r="10" spans="1:46" hidden="1" x14ac:dyDescent="0.25">
      <c r="A10" s="714" t="s">
        <v>26</v>
      </c>
      <c r="B10" s="658"/>
      <c r="C10" s="659"/>
      <c r="D10" s="715"/>
      <c r="E10" s="716"/>
      <c r="F10" s="715"/>
      <c r="G10" s="716"/>
      <c r="H10" s="715"/>
      <c r="I10" s="716"/>
      <c r="J10" s="715"/>
      <c r="K10" s="716"/>
      <c r="L10" s="717"/>
      <c r="M10" s="718"/>
      <c r="N10" s="715"/>
      <c r="O10" s="716"/>
      <c r="P10" s="715"/>
      <c r="Q10" s="716"/>
      <c r="R10" s="715"/>
      <c r="S10" s="716"/>
      <c r="T10" s="715"/>
      <c r="U10" s="716"/>
      <c r="V10" s="715"/>
      <c r="W10" s="716"/>
      <c r="X10" s="715"/>
      <c r="Y10" s="716"/>
      <c r="Z10" s="717"/>
      <c r="AA10" s="718"/>
      <c r="AB10" s="715"/>
      <c r="AC10" s="716"/>
      <c r="AD10" s="715"/>
      <c r="AE10" s="716"/>
      <c r="AF10" s="715"/>
      <c r="AG10" s="716"/>
      <c r="AH10" s="717"/>
      <c r="AI10" s="718"/>
      <c r="AJ10" s="715"/>
      <c r="AK10" s="718"/>
    </row>
    <row r="11" spans="1:46" x14ac:dyDescent="0.25">
      <c r="A11" s="147" t="s">
        <v>27</v>
      </c>
      <c r="B11" s="148"/>
      <c r="C11" s="149"/>
      <c r="D11" s="150">
        <v>2</v>
      </c>
      <c r="E11" s="151">
        <f>D11/'Anlage 1a'!D11*100</f>
        <v>2.9411764705882351</v>
      </c>
      <c r="F11" s="150">
        <v>0</v>
      </c>
      <c r="G11" s="151">
        <f>F11/'Anlage 1a'!F11*100</f>
        <v>0</v>
      </c>
      <c r="H11" s="150">
        <v>2</v>
      </c>
      <c r="I11" s="151">
        <f>H11/'Anlage 1a'!H11*100</f>
        <v>2.9850746268656714</v>
      </c>
      <c r="J11" s="150">
        <v>2</v>
      </c>
      <c r="K11" s="151">
        <f>J11/'Anlage 1a'!J11*100</f>
        <v>2.6315789473684208</v>
      </c>
      <c r="L11" s="152">
        <f t="shared" si="0"/>
        <v>6</v>
      </c>
      <c r="M11" s="153">
        <f>L11/'Anlage 1a'!L11*100</f>
        <v>2.0066889632107023</v>
      </c>
      <c r="N11" s="150"/>
      <c r="O11" s="154"/>
      <c r="P11" s="150"/>
      <c r="Q11" s="154"/>
      <c r="R11" s="150"/>
      <c r="S11" s="154"/>
      <c r="T11" s="150"/>
      <c r="U11" s="154"/>
      <c r="V11" s="150"/>
      <c r="W11" s="154"/>
      <c r="X11" s="150"/>
      <c r="Y11" s="154"/>
      <c r="Z11" s="155"/>
      <c r="AA11" s="156"/>
      <c r="AB11" s="150"/>
      <c r="AC11" s="154"/>
      <c r="AD11" s="150"/>
      <c r="AE11" s="154"/>
      <c r="AF11" s="150"/>
      <c r="AG11" s="154"/>
      <c r="AH11" s="155"/>
      <c r="AI11" s="156"/>
      <c r="AJ11" s="234">
        <f>SUM(L11,Z11,AH11)</f>
        <v>6</v>
      </c>
      <c r="AK11" s="153">
        <f>AJ11/'Anlage 1a'!AJ11*100</f>
        <v>2.0066889632107023</v>
      </c>
    </row>
    <row r="12" spans="1:46" x14ac:dyDescent="0.25">
      <c r="A12" s="147" t="s">
        <v>28</v>
      </c>
      <c r="B12" s="148"/>
      <c r="C12" s="149"/>
      <c r="D12" s="150">
        <v>1</v>
      </c>
      <c r="E12" s="151">
        <f>D12/'Anlage 1a'!D12*100</f>
        <v>2.5641025641025639</v>
      </c>
      <c r="F12" s="150">
        <v>0</v>
      </c>
      <c r="G12" s="151">
        <f>F12/'Anlage 1a'!F12*100</f>
        <v>0</v>
      </c>
      <c r="H12" s="150">
        <v>1</v>
      </c>
      <c r="I12" s="151">
        <f>H12/'Anlage 1a'!H12*100</f>
        <v>2.1739130434782608</v>
      </c>
      <c r="J12" s="150">
        <v>0</v>
      </c>
      <c r="K12" s="151">
        <f>J12/'Anlage 1a'!J12*100</f>
        <v>0</v>
      </c>
      <c r="L12" s="152">
        <f t="shared" si="0"/>
        <v>2</v>
      </c>
      <c r="M12" s="153">
        <f>L12/'Anlage 1a'!L12*100</f>
        <v>1.1299435028248588</v>
      </c>
      <c r="N12" s="150"/>
      <c r="O12" s="154"/>
      <c r="P12" s="150"/>
      <c r="Q12" s="154"/>
      <c r="R12" s="150"/>
      <c r="S12" s="154"/>
      <c r="T12" s="150"/>
      <c r="U12" s="154"/>
      <c r="V12" s="150"/>
      <c r="W12" s="154"/>
      <c r="X12" s="150"/>
      <c r="Y12" s="154"/>
      <c r="Z12" s="155"/>
      <c r="AA12" s="156"/>
      <c r="AB12" s="150"/>
      <c r="AC12" s="154"/>
      <c r="AD12" s="150"/>
      <c r="AE12" s="154"/>
      <c r="AF12" s="150"/>
      <c r="AG12" s="154"/>
      <c r="AH12" s="155"/>
      <c r="AI12" s="156"/>
      <c r="AJ12" s="234">
        <f>SUM(L12,Z12,AH12)</f>
        <v>2</v>
      </c>
      <c r="AK12" s="153">
        <f>AJ12/'Anlage 1a'!AJ12*100</f>
        <v>1.1299435028248588</v>
      </c>
    </row>
    <row r="13" spans="1:46" x14ac:dyDescent="0.25">
      <c r="A13" s="147" t="s">
        <v>29</v>
      </c>
      <c r="B13" s="148"/>
      <c r="C13" s="149"/>
      <c r="D13" s="150">
        <v>5</v>
      </c>
      <c r="E13" s="151">
        <f>D13/'Anlage 1a'!D13*100</f>
        <v>7.1428571428571423</v>
      </c>
      <c r="F13" s="150">
        <v>8</v>
      </c>
      <c r="G13" s="151">
        <f>F13/'Anlage 1a'!F13*100</f>
        <v>10</v>
      </c>
      <c r="H13" s="150">
        <v>11</v>
      </c>
      <c r="I13" s="151">
        <f>H13/'Anlage 1a'!H13*100</f>
        <v>13.414634146341465</v>
      </c>
      <c r="J13" s="150">
        <v>17</v>
      </c>
      <c r="K13" s="151">
        <f>J13/'Anlage 1a'!J13*100</f>
        <v>21.794871794871796</v>
      </c>
      <c r="L13" s="152">
        <f t="shared" si="0"/>
        <v>41</v>
      </c>
      <c r="M13" s="153">
        <f>L13/'Anlage 1a'!L13*100</f>
        <v>13.225806451612904</v>
      </c>
      <c r="N13" s="150"/>
      <c r="O13" s="154"/>
      <c r="P13" s="150"/>
      <c r="Q13" s="154"/>
      <c r="R13" s="150"/>
      <c r="S13" s="154"/>
      <c r="T13" s="150"/>
      <c r="U13" s="154"/>
      <c r="V13" s="150"/>
      <c r="W13" s="154"/>
      <c r="X13" s="150"/>
      <c r="Y13" s="154"/>
      <c r="Z13" s="155"/>
      <c r="AA13" s="156"/>
      <c r="AB13" s="150"/>
      <c r="AC13" s="154"/>
      <c r="AD13" s="150"/>
      <c r="AE13" s="154"/>
      <c r="AF13" s="150"/>
      <c r="AG13" s="154"/>
      <c r="AH13" s="155"/>
      <c r="AI13" s="156"/>
      <c r="AJ13" s="234">
        <f>SUM(L13,Z13,AH13)</f>
        <v>41</v>
      </c>
      <c r="AK13" s="153">
        <f>AJ13/'Anlage 1a'!AJ13*100</f>
        <v>13.225806451612904</v>
      </c>
    </row>
    <row r="14" spans="1:46" x14ac:dyDescent="0.25">
      <c r="A14" s="147" t="s">
        <v>58</v>
      </c>
      <c r="B14" s="148"/>
      <c r="C14" s="149"/>
      <c r="D14" s="150">
        <v>0</v>
      </c>
      <c r="E14" s="151">
        <f>D14/'Anlage 1a'!D14*100</f>
        <v>0</v>
      </c>
      <c r="F14" s="150">
        <v>0</v>
      </c>
      <c r="G14" s="151">
        <f>F14/'Anlage 1a'!F14*100</f>
        <v>0</v>
      </c>
      <c r="H14" s="150">
        <v>0</v>
      </c>
      <c r="I14" s="151">
        <f>H14/'Anlage 1a'!H14*100</f>
        <v>0</v>
      </c>
      <c r="J14" s="150">
        <v>1</v>
      </c>
      <c r="K14" s="151">
        <f>J14/'Anlage 1a'!J14*100</f>
        <v>1.7857142857142856</v>
      </c>
      <c r="L14" s="152">
        <f t="shared" si="0"/>
        <v>1</v>
      </c>
      <c r="M14" s="153">
        <f>L14/'Anlage 1a'!L14*100</f>
        <v>0.37453183520599254</v>
      </c>
      <c r="N14" s="150"/>
      <c r="O14" s="154"/>
      <c r="P14" s="150"/>
      <c r="Q14" s="154"/>
      <c r="R14" s="150"/>
      <c r="S14" s="154"/>
      <c r="T14" s="150"/>
      <c r="U14" s="154"/>
      <c r="V14" s="150"/>
      <c r="W14" s="154"/>
      <c r="X14" s="150"/>
      <c r="Y14" s="154"/>
      <c r="Z14" s="155"/>
      <c r="AA14" s="156"/>
      <c r="AB14" s="150"/>
      <c r="AC14" s="154"/>
      <c r="AD14" s="150"/>
      <c r="AE14" s="154"/>
      <c r="AF14" s="150"/>
      <c r="AG14" s="154"/>
      <c r="AH14" s="155"/>
      <c r="AI14" s="156"/>
      <c r="AJ14" s="234">
        <f>SUM(L14,Z14,AH14)</f>
        <v>1</v>
      </c>
      <c r="AK14" s="153">
        <f>AJ14/'Anlage 1a'!AJ14*100</f>
        <v>0.37453183520599254</v>
      </c>
    </row>
    <row r="15" spans="1:46" s="123" customFormat="1" ht="14.25" thickBot="1" x14ac:dyDescent="0.3">
      <c r="A15" s="224" t="s">
        <v>292</v>
      </c>
      <c r="B15" s="148"/>
      <c r="C15" s="149"/>
      <c r="D15" s="227">
        <v>0</v>
      </c>
      <c r="E15" s="226">
        <f>D15/'Anlage 1a'!D15*100</f>
        <v>0</v>
      </c>
      <c r="F15" s="227">
        <v>1</v>
      </c>
      <c r="G15" s="226">
        <f>F15/'Anlage 1a'!F15*100</f>
        <v>1.1764705882352942</v>
      </c>
      <c r="H15" s="227">
        <v>1</v>
      </c>
      <c r="I15" s="226">
        <f>H15/'Anlage 1a'!H15*100</f>
        <v>1.3513513513513513</v>
      </c>
      <c r="J15" s="227">
        <v>0</v>
      </c>
      <c r="K15" s="226">
        <f>J15/'Anlage 1a'!J15*100</f>
        <v>0</v>
      </c>
      <c r="L15" s="228">
        <f t="shared" si="0"/>
        <v>2</v>
      </c>
      <c r="M15" s="229">
        <f>L15/'Anlage 1a'!L15*100</f>
        <v>0.63897763578274758</v>
      </c>
      <c r="N15" s="227"/>
      <c r="O15" s="230"/>
      <c r="P15" s="227"/>
      <c r="Q15" s="230"/>
      <c r="R15" s="227"/>
      <c r="S15" s="230"/>
      <c r="T15" s="227"/>
      <c r="U15" s="230"/>
      <c r="V15" s="227"/>
      <c r="W15" s="230"/>
      <c r="X15" s="227"/>
      <c r="Y15" s="230"/>
      <c r="Z15" s="169"/>
      <c r="AA15" s="170"/>
      <c r="AB15" s="227"/>
      <c r="AC15" s="230"/>
      <c r="AD15" s="227"/>
      <c r="AE15" s="230"/>
      <c r="AF15" s="227"/>
      <c r="AG15" s="230"/>
      <c r="AH15" s="169"/>
      <c r="AI15" s="170"/>
      <c r="AJ15" s="234">
        <f>SUM(L15,Z15,AH15)</f>
        <v>2</v>
      </c>
      <c r="AK15" s="229">
        <f>AJ15/'Anlage 1a'!AJ15*100</f>
        <v>0.63897763578274758</v>
      </c>
    </row>
    <row r="16" spans="1:46" ht="20.100000000000001" customHeight="1" thickBot="1" x14ac:dyDescent="0.3">
      <c r="A16" s="198" t="s">
        <v>30</v>
      </c>
      <c r="B16" s="159"/>
      <c r="C16" s="160"/>
      <c r="D16" s="184">
        <f>SUM(D10,D11:D15)</f>
        <v>8</v>
      </c>
      <c r="E16" s="185">
        <f>D16/'Anlage 1a'!D16*100</f>
        <v>2.3738872403560833</v>
      </c>
      <c r="F16" s="184">
        <f>SUM(F10,F11:F15)</f>
        <v>9</v>
      </c>
      <c r="G16" s="185">
        <f>F16/'Anlage 1a'!F16*100</f>
        <v>2.4793388429752068</v>
      </c>
      <c r="H16" s="184">
        <f>SUM(H10,H11:H15)</f>
        <v>15</v>
      </c>
      <c r="I16" s="185">
        <f>H16/'Anlage 1a'!H16*100</f>
        <v>4.4117647058823533</v>
      </c>
      <c r="J16" s="184">
        <f>SUM(J10,J11:J15)</f>
        <v>20</v>
      </c>
      <c r="K16" s="185">
        <f>J16/'Anlage 1a'!J16*100</f>
        <v>6.1349693251533743</v>
      </c>
      <c r="L16" s="187">
        <f>SUM(L10,L11:L15)</f>
        <v>52</v>
      </c>
      <c r="M16" s="188">
        <f>L16/'Anlage 1a'!L16*100</f>
        <v>3.8067349926793561</v>
      </c>
      <c r="N16" s="200"/>
      <c r="O16" s="199"/>
      <c r="P16" s="200"/>
      <c r="Q16" s="199"/>
      <c r="R16" s="200"/>
      <c r="S16" s="199"/>
      <c r="T16" s="200"/>
      <c r="U16" s="199"/>
      <c r="V16" s="200"/>
      <c r="W16" s="199"/>
      <c r="X16" s="200"/>
      <c r="Y16" s="199"/>
      <c r="Z16" s="202"/>
      <c r="AA16" s="203"/>
      <c r="AB16" s="200"/>
      <c r="AC16" s="199"/>
      <c r="AD16" s="200"/>
      <c r="AE16" s="199"/>
      <c r="AF16" s="200"/>
      <c r="AG16" s="199"/>
      <c r="AH16" s="202"/>
      <c r="AI16" s="203"/>
      <c r="AJ16" s="184">
        <f>SUM(AJ10,AJ11:AJ15)</f>
        <v>52</v>
      </c>
      <c r="AK16" s="188">
        <f>AJ16/'Anlage 1a'!AJ16*100</f>
        <v>3.8067349926793561</v>
      </c>
    </row>
    <row r="17" spans="1:37" x14ac:dyDescent="0.25">
      <c r="A17" s="205" t="s">
        <v>317</v>
      </c>
      <c r="B17" s="148"/>
      <c r="C17" s="149"/>
      <c r="D17" s="216">
        <v>0</v>
      </c>
      <c r="E17" s="215">
        <f>D17/'Anlage 1a'!D17*100</f>
        <v>0</v>
      </c>
      <c r="F17" s="216">
        <v>0</v>
      </c>
      <c r="G17" s="215">
        <f>F17/'Anlage 1a'!F17*100</f>
        <v>0</v>
      </c>
      <c r="H17" s="216">
        <v>0</v>
      </c>
      <c r="I17" s="215">
        <f>H17/'Anlage 1a'!H17*100</f>
        <v>0</v>
      </c>
      <c r="J17" s="216">
        <v>1</v>
      </c>
      <c r="K17" s="215">
        <f>J17/'Anlage 1a'!J17*100</f>
        <v>5.8823529411764701</v>
      </c>
      <c r="L17" s="217">
        <f t="shared" si="0"/>
        <v>1</v>
      </c>
      <c r="M17" s="218">
        <f>L17/'Anlage 1a'!L17*100</f>
        <v>1.0752688172043012</v>
      </c>
      <c r="N17" s="216"/>
      <c r="O17" s="219"/>
      <c r="P17" s="216"/>
      <c r="Q17" s="219"/>
      <c r="R17" s="216"/>
      <c r="S17" s="219"/>
      <c r="T17" s="216"/>
      <c r="U17" s="219"/>
      <c r="V17" s="216"/>
      <c r="W17" s="219"/>
      <c r="X17" s="216"/>
      <c r="Y17" s="219"/>
      <c r="Z17" s="221"/>
      <c r="AA17" s="222"/>
      <c r="AB17" s="216"/>
      <c r="AC17" s="219"/>
      <c r="AD17" s="216"/>
      <c r="AE17" s="219"/>
      <c r="AF17" s="216"/>
      <c r="AG17" s="219"/>
      <c r="AH17" s="221"/>
      <c r="AI17" s="222"/>
      <c r="AJ17" s="234">
        <f>SUM(L17,Z17,AH17)</f>
        <v>1</v>
      </c>
      <c r="AK17" s="218">
        <f>AJ17/'Anlage 1a'!AJ17*100</f>
        <v>1.0752688172043012</v>
      </c>
    </row>
    <row r="18" spans="1:37" x14ac:dyDescent="0.25">
      <c r="A18" s="147" t="s">
        <v>316</v>
      </c>
      <c r="B18" s="148"/>
      <c r="C18" s="149"/>
      <c r="D18" s="150">
        <v>0</v>
      </c>
      <c r="E18" s="151">
        <f>D18/'Anlage 1a'!D18*100</f>
        <v>0</v>
      </c>
      <c r="F18" s="150">
        <v>1</v>
      </c>
      <c r="G18" s="151">
        <f>F18/'Anlage 1a'!F18*100</f>
        <v>2.2727272727272729</v>
      </c>
      <c r="H18" s="150">
        <v>0</v>
      </c>
      <c r="I18" s="151">
        <f>H18/'Anlage 1a'!H18*100</f>
        <v>0</v>
      </c>
      <c r="J18" s="150">
        <v>0</v>
      </c>
      <c r="K18" s="151">
        <f>J18/'Anlage 1a'!J18*100</f>
        <v>0</v>
      </c>
      <c r="L18" s="152">
        <f t="shared" si="0"/>
        <v>1</v>
      </c>
      <c r="M18" s="153">
        <f>L18/'Anlage 1a'!L18*100</f>
        <v>0.60240963855421692</v>
      </c>
      <c r="N18" s="150"/>
      <c r="O18" s="154"/>
      <c r="P18" s="150"/>
      <c r="Q18" s="154"/>
      <c r="R18" s="150"/>
      <c r="S18" s="154"/>
      <c r="T18" s="150"/>
      <c r="U18" s="154"/>
      <c r="V18" s="150"/>
      <c r="W18" s="154"/>
      <c r="X18" s="150"/>
      <c r="Y18" s="154"/>
      <c r="Z18" s="155"/>
      <c r="AA18" s="156"/>
      <c r="AB18" s="150"/>
      <c r="AC18" s="154"/>
      <c r="AD18" s="150"/>
      <c r="AE18" s="154"/>
      <c r="AF18" s="150"/>
      <c r="AG18" s="154"/>
      <c r="AH18" s="155"/>
      <c r="AI18" s="156"/>
      <c r="AJ18" s="234">
        <f>SUM(L18,Z18,AH18)</f>
        <v>1</v>
      </c>
      <c r="AK18" s="153">
        <f>AJ18/'Anlage 1a'!AJ18*100</f>
        <v>0.60240963855421692</v>
      </c>
    </row>
    <row r="19" spans="1:37" x14ac:dyDescent="0.25">
      <c r="A19" s="147" t="s">
        <v>289</v>
      </c>
      <c r="B19" s="148"/>
      <c r="C19" s="149"/>
      <c r="D19" s="150">
        <v>0</v>
      </c>
      <c r="E19" s="151">
        <f>D19/'Anlage 1a'!D19*100</f>
        <v>0</v>
      </c>
      <c r="F19" s="150">
        <v>0</v>
      </c>
      <c r="G19" s="151">
        <f>F19/'Anlage 1a'!F19*100</f>
        <v>0</v>
      </c>
      <c r="H19" s="150">
        <v>0</v>
      </c>
      <c r="I19" s="151">
        <f>H19/'Anlage 1a'!H19*100</f>
        <v>0</v>
      </c>
      <c r="J19" s="150">
        <v>1</v>
      </c>
      <c r="K19" s="151">
        <f>J19/'Anlage 1a'!J19*100</f>
        <v>2.1739130434782608</v>
      </c>
      <c r="L19" s="152">
        <f t="shared" si="0"/>
        <v>1</v>
      </c>
      <c r="M19" s="153">
        <f>L19/'Anlage 1a'!L19*100</f>
        <v>0.51546391752577314</v>
      </c>
      <c r="N19" s="150"/>
      <c r="O19" s="154"/>
      <c r="P19" s="150"/>
      <c r="Q19" s="154"/>
      <c r="R19" s="150"/>
      <c r="S19" s="154"/>
      <c r="T19" s="150"/>
      <c r="U19" s="154"/>
      <c r="V19" s="150"/>
      <c r="W19" s="154"/>
      <c r="X19" s="150"/>
      <c r="Y19" s="154"/>
      <c r="Z19" s="155"/>
      <c r="AA19" s="156"/>
      <c r="AB19" s="150"/>
      <c r="AC19" s="154"/>
      <c r="AD19" s="150"/>
      <c r="AE19" s="154"/>
      <c r="AF19" s="150"/>
      <c r="AG19" s="154"/>
      <c r="AH19" s="155"/>
      <c r="AI19" s="156"/>
      <c r="AJ19" s="234">
        <f>SUM(L19,Z19,AH19)</f>
        <v>1</v>
      </c>
      <c r="AK19" s="153">
        <f>AJ19/'Anlage 1a'!AJ19*100</f>
        <v>0.51546391752577314</v>
      </c>
    </row>
    <row r="20" spans="1:37" x14ac:dyDescent="0.25">
      <c r="A20" s="147" t="s">
        <v>290</v>
      </c>
      <c r="B20" s="148"/>
      <c r="C20" s="149"/>
      <c r="D20" s="150">
        <v>0</v>
      </c>
      <c r="E20" s="151">
        <f>D20/'Anlage 1a'!D20*100</f>
        <v>0</v>
      </c>
      <c r="F20" s="150">
        <v>0</v>
      </c>
      <c r="G20" s="151">
        <f>F20/'Anlage 1a'!F20*100</f>
        <v>0</v>
      </c>
      <c r="H20" s="150">
        <v>0</v>
      </c>
      <c r="I20" s="151">
        <f>H20/'Anlage 1a'!H20*100</f>
        <v>0</v>
      </c>
      <c r="J20" s="150">
        <v>0</v>
      </c>
      <c r="K20" s="151">
        <f>J20/'Anlage 1a'!J20*100</f>
        <v>0</v>
      </c>
      <c r="L20" s="152">
        <f t="shared" si="0"/>
        <v>0</v>
      </c>
      <c r="M20" s="153">
        <f>L20/'Anlage 1a'!L20*100</f>
        <v>0</v>
      </c>
      <c r="N20" s="150"/>
      <c r="O20" s="154"/>
      <c r="P20" s="150"/>
      <c r="Q20" s="154"/>
      <c r="R20" s="150"/>
      <c r="S20" s="154"/>
      <c r="T20" s="150"/>
      <c r="U20" s="154"/>
      <c r="V20" s="150"/>
      <c r="W20" s="154"/>
      <c r="X20" s="150"/>
      <c r="Y20" s="154"/>
      <c r="Z20" s="155"/>
      <c r="AA20" s="156"/>
      <c r="AB20" s="150"/>
      <c r="AC20" s="154"/>
      <c r="AD20" s="150"/>
      <c r="AE20" s="154"/>
      <c r="AF20" s="150"/>
      <c r="AG20" s="154"/>
      <c r="AH20" s="155"/>
      <c r="AI20" s="156"/>
      <c r="AJ20" s="234">
        <f>SUM(L20,Z20,AH20)</f>
        <v>0</v>
      </c>
      <c r="AK20" s="153">
        <f>AJ20/'Anlage 1a'!AJ20*100</f>
        <v>0</v>
      </c>
    </row>
    <row r="21" spans="1:37" s="123" customFormat="1" ht="14.25" thickBot="1" x14ac:dyDescent="0.3">
      <c r="A21" s="224" t="s">
        <v>51</v>
      </c>
      <c r="B21" s="148"/>
      <c r="C21" s="149"/>
      <c r="D21" s="227">
        <v>0</v>
      </c>
      <c r="E21" s="226">
        <f>D21/'Anlage 1a'!D21*100</f>
        <v>0</v>
      </c>
      <c r="F21" s="227">
        <v>0</v>
      </c>
      <c r="G21" s="226">
        <f>F21/'Anlage 1a'!F21*100</f>
        <v>0</v>
      </c>
      <c r="H21" s="227">
        <v>0</v>
      </c>
      <c r="I21" s="226">
        <f>H21/'Anlage 1a'!H21*100</f>
        <v>0</v>
      </c>
      <c r="J21" s="227">
        <v>0</v>
      </c>
      <c r="K21" s="226">
        <f>J21/'Anlage 1a'!J21*100</f>
        <v>0</v>
      </c>
      <c r="L21" s="228">
        <f>SUM(D21,F21,H21,J21)</f>
        <v>0</v>
      </c>
      <c r="M21" s="229">
        <f>L21/'Anlage 1a'!L21*100</f>
        <v>0</v>
      </c>
      <c r="N21" s="227"/>
      <c r="O21" s="230"/>
      <c r="P21" s="227"/>
      <c r="Q21" s="230"/>
      <c r="R21" s="227"/>
      <c r="S21" s="230"/>
      <c r="T21" s="227"/>
      <c r="U21" s="230"/>
      <c r="V21" s="227"/>
      <c r="W21" s="230"/>
      <c r="X21" s="227"/>
      <c r="Y21" s="230"/>
      <c r="Z21" s="169"/>
      <c r="AA21" s="170"/>
      <c r="AB21" s="227"/>
      <c r="AC21" s="230"/>
      <c r="AD21" s="227"/>
      <c r="AE21" s="230"/>
      <c r="AF21" s="227"/>
      <c r="AG21" s="230"/>
      <c r="AH21" s="169"/>
      <c r="AI21" s="170"/>
      <c r="AJ21" s="234">
        <f>SUM(L21,Z21,AH21)</f>
        <v>0</v>
      </c>
      <c r="AK21" s="229">
        <f>AJ21/'Anlage 1a'!AJ21*100</f>
        <v>0</v>
      </c>
    </row>
    <row r="22" spans="1:37" ht="20.100000000000001" customHeight="1" thickBot="1" x14ac:dyDescent="0.3">
      <c r="A22" s="198" t="s">
        <v>31</v>
      </c>
      <c r="B22" s="159"/>
      <c r="C22" s="160"/>
      <c r="D22" s="184">
        <f>SUM(D17,D18:D21)</f>
        <v>0</v>
      </c>
      <c r="E22" s="185">
        <f>D22/'Anlage 1a'!D22*100</f>
        <v>0</v>
      </c>
      <c r="F22" s="184">
        <f>SUM(F17,F18:F21)</f>
        <v>1</v>
      </c>
      <c r="G22" s="185">
        <f>F22/'Anlage 1a'!F22*100</f>
        <v>0.45871559633027525</v>
      </c>
      <c r="H22" s="184">
        <f>SUM(H17,H18:H21)</f>
        <v>0</v>
      </c>
      <c r="I22" s="185">
        <f>H22/'Anlage 1a'!H22*100</f>
        <v>0</v>
      </c>
      <c r="J22" s="184">
        <f>SUM(J17,J18:J21)</f>
        <v>2</v>
      </c>
      <c r="K22" s="185">
        <f>J22/'Anlage 1a'!J22*100</f>
        <v>1.0416666666666665</v>
      </c>
      <c r="L22" s="187">
        <f>SUM(L17,L18:L21)</f>
        <v>3</v>
      </c>
      <c r="M22" s="188">
        <f>L22/'Anlage 1a'!L22*100</f>
        <v>0.36630036630036628</v>
      </c>
      <c r="N22" s="200"/>
      <c r="O22" s="199"/>
      <c r="P22" s="200"/>
      <c r="Q22" s="199"/>
      <c r="R22" s="200"/>
      <c r="S22" s="199"/>
      <c r="T22" s="200"/>
      <c r="U22" s="199"/>
      <c r="V22" s="200"/>
      <c r="W22" s="199"/>
      <c r="X22" s="200"/>
      <c r="Y22" s="199"/>
      <c r="Z22" s="202"/>
      <c r="AA22" s="203"/>
      <c r="AB22" s="200"/>
      <c r="AC22" s="199"/>
      <c r="AD22" s="200"/>
      <c r="AE22" s="199"/>
      <c r="AF22" s="200"/>
      <c r="AG22" s="199"/>
      <c r="AH22" s="202"/>
      <c r="AI22" s="203"/>
      <c r="AJ22" s="184">
        <f>SUM(AJ17,AJ18:AJ21)</f>
        <v>3</v>
      </c>
      <c r="AK22" s="188">
        <f>AJ22/'Anlage 1a'!AJ22*100</f>
        <v>0.36630036630036628</v>
      </c>
    </row>
    <row r="23" spans="1:37" x14ac:dyDescent="0.25">
      <c r="A23" s="205" t="s">
        <v>32</v>
      </c>
      <c r="B23" s="148"/>
      <c r="C23" s="149"/>
      <c r="D23" s="216">
        <v>0</v>
      </c>
      <c r="E23" s="215">
        <f>D23/'Anlage 1a'!D23*100</f>
        <v>0</v>
      </c>
      <c r="F23" s="216">
        <v>0</v>
      </c>
      <c r="G23" s="215">
        <f>F23/'Anlage 1a'!F23*100</f>
        <v>0</v>
      </c>
      <c r="H23" s="216">
        <v>0</v>
      </c>
      <c r="I23" s="215">
        <f>H23/'Anlage 1a'!H23*100</f>
        <v>0</v>
      </c>
      <c r="J23" s="216">
        <v>0</v>
      </c>
      <c r="K23" s="215">
        <f>J23/'Anlage 1a'!J23*100</f>
        <v>0</v>
      </c>
      <c r="L23" s="217">
        <f>SUM(D23,F23,H23,J23)</f>
        <v>0</v>
      </c>
      <c r="M23" s="218">
        <f>L23/'Anlage 1a'!L23*100</f>
        <v>0</v>
      </c>
      <c r="N23" s="216"/>
      <c r="O23" s="219"/>
      <c r="P23" s="216"/>
      <c r="Q23" s="219"/>
      <c r="R23" s="216"/>
      <c r="S23" s="219"/>
      <c r="T23" s="216"/>
      <c r="U23" s="219"/>
      <c r="V23" s="216"/>
      <c r="W23" s="219"/>
      <c r="X23" s="216"/>
      <c r="Y23" s="219"/>
      <c r="Z23" s="221"/>
      <c r="AA23" s="222"/>
      <c r="AB23" s="216"/>
      <c r="AC23" s="219"/>
      <c r="AD23" s="216"/>
      <c r="AE23" s="219"/>
      <c r="AF23" s="216"/>
      <c r="AG23" s="219"/>
      <c r="AH23" s="221"/>
      <c r="AI23" s="222"/>
      <c r="AJ23" s="234">
        <f>SUM(L23,Z23,AH23)</f>
        <v>0</v>
      </c>
      <c r="AK23" s="218">
        <f>AJ23/'Anlage 1a'!AJ23*100</f>
        <v>0</v>
      </c>
    </row>
    <row r="24" spans="1:37" s="123" customFormat="1" ht="14.25" thickBot="1" x14ac:dyDescent="0.3">
      <c r="A24" s="224" t="s">
        <v>33</v>
      </c>
      <c r="B24" s="148"/>
      <c r="C24" s="149"/>
      <c r="D24" s="227">
        <v>0</v>
      </c>
      <c r="E24" s="226">
        <f>D24/'Anlage 1a'!D24*100</f>
        <v>0</v>
      </c>
      <c r="F24" s="227">
        <v>1</v>
      </c>
      <c r="G24" s="226">
        <f>F24/'Anlage 1a'!H24*100</f>
        <v>1.9230769230769231</v>
      </c>
      <c r="H24" s="227">
        <v>0</v>
      </c>
      <c r="I24" s="215">
        <f>H24/'Anlage 1a'!H24*100</f>
        <v>0</v>
      </c>
      <c r="J24" s="227">
        <v>0</v>
      </c>
      <c r="K24" s="215">
        <f>J24/'Anlage 1a'!J24*100</f>
        <v>0</v>
      </c>
      <c r="L24" s="228">
        <f>SUM(D24,F24,H24,J24)</f>
        <v>1</v>
      </c>
      <c r="M24" s="229">
        <f>L24/'Anlage 1a'!L24*100</f>
        <v>0.52356020942408377</v>
      </c>
      <c r="N24" s="227"/>
      <c r="O24" s="230"/>
      <c r="P24" s="227"/>
      <c r="Q24" s="230"/>
      <c r="R24" s="227"/>
      <c r="S24" s="230"/>
      <c r="T24" s="227"/>
      <c r="U24" s="230"/>
      <c r="V24" s="227"/>
      <c r="W24" s="230"/>
      <c r="X24" s="227"/>
      <c r="Y24" s="230"/>
      <c r="Z24" s="169"/>
      <c r="AA24" s="170"/>
      <c r="AB24" s="227"/>
      <c r="AC24" s="230"/>
      <c r="AD24" s="227"/>
      <c r="AE24" s="230"/>
      <c r="AF24" s="227"/>
      <c r="AG24" s="230"/>
      <c r="AH24" s="169"/>
      <c r="AI24" s="170"/>
      <c r="AJ24" s="234">
        <f>SUM(L24,Z24,AH24)</f>
        <v>1</v>
      </c>
      <c r="AK24" s="229">
        <f>AJ24/'Anlage 1a'!AJ24*100</f>
        <v>0.52356020942408377</v>
      </c>
    </row>
    <row r="25" spans="1:37" s="123" customFormat="1" ht="20.100000000000001" customHeight="1" thickBot="1" x14ac:dyDescent="0.3">
      <c r="A25" s="198" t="s">
        <v>34</v>
      </c>
      <c r="B25" s="159"/>
      <c r="C25" s="160"/>
      <c r="D25" s="184">
        <f>SUM(D23,D24)</f>
        <v>0</v>
      </c>
      <c r="E25" s="184">
        <f t="shared" ref="E25:AK25" si="1">SUM(E23,E24)</f>
        <v>0</v>
      </c>
      <c r="F25" s="184">
        <f t="shared" si="1"/>
        <v>1</v>
      </c>
      <c r="G25" s="184">
        <f t="shared" si="1"/>
        <v>1.9230769230769231</v>
      </c>
      <c r="H25" s="184">
        <f t="shared" si="1"/>
        <v>0</v>
      </c>
      <c r="I25" s="184">
        <f t="shared" si="1"/>
        <v>0</v>
      </c>
      <c r="J25" s="184">
        <f t="shared" si="1"/>
        <v>0</v>
      </c>
      <c r="K25" s="249">
        <f t="shared" si="1"/>
        <v>0</v>
      </c>
      <c r="L25" s="187">
        <f t="shared" si="1"/>
        <v>1</v>
      </c>
      <c r="M25" s="250">
        <f t="shared" si="1"/>
        <v>0.52356020942408377</v>
      </c>
      <c r="N25" s="251">
        <f t="shared" si="1"/>
        <v>0</v>
      </c>
      <c r="O25" s="252">
        <f t="shared" si="1"/>
        <v>0</v>
      </c>
      <c r="P25" s="252">
        <f t="shared" si="1"/>
        <v>0</v>
      </c>
      <c r="Q25" s="252">
        <f t="shared" si="1"/>
        <v>0</v>
      </c>
      <c r="R25" s="252">
        <f t="shared" si="1"/>
        <v>0</v>
      </c>
      <c r="S25" s="252">
        <f t="shared" si="1"/>
        <v>0</v>
      </c>
      <c r="T25" s="252">
        <f t="shared" si="1"/>
        <v>0</v>
      </c>
      <c r="U25" s="252">
        <f t="shared" si="1"/>
        <v>0</v>
      </c>
      <c r="V25" s="252">
        <f t="shared" si="1"/>
        <v>0</v>
      </c>
      <c r="W25" s="252">
        <f t="shared" si="1"/>
        <v>0</v>
      </c>
      <c r="X25" s="252">
        <f t="shared" si="1"/>
        <v>0</v>
      </c>
      <c r="Y25" s="253">
        <f t="shared" si="1"/>
        <v>0</v>
      </c>
      <c r="Z25" s="178">
        <f t="shared" si="1"/>
        <v>0</v>
      </c>
      <c r="AA25" s="179">
        <f t="shared" si="1"/>
        <v>0</v>
      </c>
      <c r="AB25" s="251">
        <f t="shared" si="1"/>
        <v>0</v>
      </c>
      <c r="AC25" s="252">
        <f t="shared" si="1"/>
        <v>0</v>
      </c>
      <c r="AD25" s="252">
        <f t="shared" si="1"/>
        <v>0</v>
      </c>
      <c r="AE25" s="252">
        <f t="shared" si="1"/>
        <v>0</v>
      </c>
      <c r="AF25" s="252">
        <f t="shared" si="1"/>
        <v>0</v>
      </c>
      <c r="AG25" s="253">
        <f t="shared" si="1"/>
        <v>0</v>
      </c>
      <c r="AH25" s="178">
        <f t="shared" si="1"/>
        <v>0</v>
      </c>
      <c r="AI25" s="179">
        <f t="shared" si="1"/>
        <v>0</v>
      </c>
      <c r="AJ25" s="204">
        <f t="shared" si="1"/>
        <v>1</v>
      </c>
      <c r="AK25" s="184">
        <f t="shared" si="1"/>
        <v>0.52356020942408377</v>
      </c>
    </row>
    <row r="26" spans="1:37" ht="20.100000000000001" customHeight="1" thickBot="1" x14ac:dyDescent="0.3">
      <c r="A26" s="181" t="s">
        <v>35</v>
      </c>
      <c r="B26" s="182"/>
      <c r="C26" s="183"/>
      <c r="D26" s="184">
        <f>SUM(D25,D22,D16,D9)</f>
        <v>9</v>
      </c>
      <c r="E26" s="185">
        <f>D26/'Anlage 1a'!D26*100</f>
        <v>1.0714285714285714</v>
      </c>
      <c r="F26" s="184">
        <f>SUM(F25,F22,F16,F9)</f>
        <v>17</v>
      </c>
      <c r="G26" s="185">
        <f>F26/'Anlage 1a'!F26*100</f>
        <v>1.8240343347639485</v>
      </c>
      <c r="H26" s="184">
        <f>SUM(H25,H22,H16,H9)</f>
        <v>19</v>
      </c>
      <c r="I26" s="185">
        <f>H26/'Anlage 1a'!H26*100</f>
        <v>2.1541950113378685</v>
      </c>
      <c r="J26" s="184">
        <f>SUM(J25,J22,J16,J9)</f>
        <v>25</v>
      </c>
      <c r="K26" s="186">
        <f>J26/'Anlage 1a'!J26*100</f>
        <v>2.8344671201814062</v>
      </c>
      <c r="L26" s="187">
        <f>SUM(L25,L22,L16,L9)</f>
        <v>70</v>
      </c>
      <c r="M26" s="188">
        <f>L26/'Anlage 1a'!L26*100</f>
        <v>1.9796380090497736</v>
      </c>
      <c r="N26" s="189"/>
      <c r="O26" s="190"/>
      <c r="P26" s="191"/>
      <c r="Q26" s="190"/>
      <c r="R26" s="191"/>
      <c r="S26" s="190"/>
      <c r="T26" s="191"/>
      <c r="U26" s="190"/>
      <c r="V26" s="191"/>
      <c r="W26" s="190"/>
      <c r="X26" s="191"/>
      <c r="Y26" s="192"/>
      <c r="Z26" s="193"/>
      <c r="AA26" s="194"/>
      <c r="AB26" s="189"/>
      <c r="AC26" s="190"/>
      <c r="AD26" s="191"/>
      <c r="AE26" s="190"/>
      <c r="AF26" s="191"/>
      <c r="AG26" s="190"/>
      <c r="AH26" s="193"/>
      <c r="AI26" s="194"/>
      <c r="AJ26" s="184">
        <f>SUM(AJ25,AJ22,AJ16,AJ9)</f>
        <v>70</v>
      </c>
      <c r="AK26" s="188">
        <f>AJ26/'Anlage 1a'!AJ26*100</f>
        <v>1.9796380090497736</v>
      </c>
    </row>
    <row r="27" spans="1:37" ht="14.25" thickBot="1" x14ac:dyDescent="0.3">
      <c r="A27" s="147" t="s">
        <v>36</v>
      </c>
      <c r="B27" s="195"/>
      <c r="C27" s="196"/>
      <c r="D27" s="150"/>
      <c r="E27" s="154"/>
      <c r="F27" s="150"/>
      <c r="G27" s="154"/>
      <c r="H27" s="150"/>
      <c r="I27" s="154"/>
      <c r="J27" s="150"/>
      <c r="K27" s="154"/>
      <c r="L27" s="155"/>
      <c r="M27" s="156"/>
      <c r="N27" s="150">
        <v>0</v>
      </c>
      <c r="O27" s="151">
        <f>N27/'Anlage 1a'!N27*100</f>
        <v>0</v>
      </c>
      <c r="P27" s="150">
        <v>0</v>
      </c>
      <c r="Q27" s="151">
        <f>P27/'Anlage 1a'!P27*100</f>
        <v>0</v>
      </c>
      <c r="R27" s="150">
        <v>5</v>
      </c>
      <c r="S27" s="151">
        <f>R27/'Anlage 1a'!R27*100</f>
        <v>13.888888888888889</v>
      </c>
      <c r="T27" s="150">
        <v>0</v>
      </c>
      <c r="U27" s="151">
        <f>T27/'Anlage 1a'!T27*100</f>
        <v>0</v>
      </c>
      <c r="V27" s="150">
        <v>2</v>
      </c>
      <c r="W27" s="151">
        <f>V27/'Anlage 1a'!V27*100</f>
        <v>4.2553191489361701</v>
      </c>
      <c r="X27" s="150">
        <v>0</v>
      </c>
      <c r="Y27" s="151">
        <f>X27/'Anlage 1a'!X27*100</f>
        <v>0</v>
      </c>
      <c r="Z27" s="152">
        <f t="shared" ref="Z27:Z35" si="2">SUM(N27,P27,R27,T27,V27,X27)</f>
        <v>7</v>
      </c>
      <c r="AA27" s="153">
        <f>Z27/'Anlage 1a'!Z27*100</f>
        <v>2.5089605734767026</v>
      </c>
      <c r="AB27" s="150"/>
      <c r="AC27" s="154"/>
      <c r="AD27" s="150"/>
      <c r="AE27" s="154"/>
      <c r="AF27" s="150"/>
      <c r="AG27" s="154"/>
      <c r="AH27" s="155"/>
      <c r="AI27" s="156"/>
      <c r="AJ27" s="157">
        <f t="shared" ref="AJ27:AJ35" si="3">SUM(L27,Z27,AH27)</f>
        <v>7</v>
      </c>
      <c r="AK27" s="188">
        <f>AJ27/'Anlage 1a'!AJ27*100</f>
        <v>2.5089605734767026</v>
      </c>
    </row>
    <row r="28" spans="1:37" s="123" customFormat="1" ht="14.25" thickBot="1" x14ac:dyDescent="0.3">
      <c r="A28" s="198" t="s">
        <v>38</v>
      </c>
      <c r="B28" s="182"/>
      <c r="C28" s="183"/>
      <c r="D28" s="587"/>
      <c r="E28" s="840"/>
      <c r="F28" s="588"/>
      <c r="G28" s="840"/>
      <c r="H28" s="588"/>
      <c r="I28" s="840"/>
      <c r="J28" s="588"/>
      <c r="K28" s="841"/>
      <c r="L28" s="842"/>
      <c r="M28" s="843"/>
      <c r="N28" s="204">
        <f>SUM(N26:N27)</f>
        <v>0</v>
      </c>
      <c r="O28" s="185">
        <f>N28/'Anlage 1a'!N28*100</f>
        <v>0</v>
      </c>
      <c r="P28" s="204">
        <f>SUM(P26:P27)</f>
        <v>0</v>
      </c>
      <c r="Q28" s="185">
        <f>P28/'Anlage 1a'!P28*100</f>
        <v>0</v>
      </c>
      <c r="R28" s="204">
        <f>SUM(R26:R27)</f>
        <v>5</v>
      </c>
      <c r="S28" s="185">
        <f>R28/'Anlage 1a'!R28*100</f>
        <v>13.888888888888889</v>
      </c>
      <c r="T28" s="204">
        <f>SUM(T26:T27)</f>
        <v>0</v>
      </c>
      <c r="U28" s="185">
        <f>T28/'Anlage 1a'!T28*100</f>
        <v>0</v>
      </c>
      <c r="V28" s="204">
        <f>SUM(V26:V27)</f>
        <v>2</v>
      </c>
      <c r="W28" s="185">
        <f>V28/'Anlage 1a'!V28*100</f>
        <v>4.2553191489361701</v>
      </c>
      <c r="X28" s="204">
        <f>SUM(X26:X27)</f>
        <v>0</v>
      </c>
      <c r="Y28" s="185">
        <f>X28/'Anlage 1a'!X28*100</f>
        <v>0</v>
      </c>
      <c r="Z28" s="184">
        <f t="shared" si="2"/>
        <v>7</v>
      </c>
      <c r="AA28" s="185">
        <f>Z28/'Anlage 1a'!Z28*100</f>
        <v>2.5089605734767026</v>
      </c>
      <c r="AB28" s="200"/>
      <c r="AC28" s="199"/>
      <c r="AD28" s="200"/>
      <c r="AE28" s="199"/>
      <c r="AF28" s="200"/>
      <c r="AG28" s="201"/>
      <c r="AH28" s="202"/>
      <c r="AI28" s="203"/>
      <c r="AJ28" s="204">
        <f t="shared" si="3"/>
        <v>7</v>
      </c>
      <c r="AK28" s="188">
        <f>AJ28/'Anlage 1a'!AJ28*100</f>
        <v>2.5089605734767026</v>
      </c>
    </row>
    <row r="29" spans="1:37" s="123" customFormat="1" ht="14.25" thickBot="1" x14ac:dyDescent="0.3">
      <c r="A29" s="205" t="s">
        <v>56</v>
      </c>
      <c r="B29" s="206"/>
      <c r="C29" s="207"/>
      <c r="D29" s="208"/>
      <c r="E29" s="209"/>
      <c r="F29" s="210"/>
      <c r="G29" s="209"/>
      <c r="H29" s="210"/>
      <c r="I29" s="209"/>
      <c r="J29" s="210"/>
      <c r="K29" s="211"/>
      <c r="L29" s="212"/>
      <c r="M29" s="213"/>
      <c r="N29" s="214">
        <v>0</v>
      </c>
      <c r="O29" s="215">
        <f>N29/'Anlage 1a'!N29*100</f>
        <v>0</v>
      </c>
      <c r="P29" s="216">
        <v>1</v>
      </c>
      <c r="Q29" s="215">
        <f>P29/'Anlage 1a'!P29*100</f>
        <v>0.93457943925233633</v>
      </c>
      <c r="R29" s="216">
        <v>3</v>
      </c>
      <c r="S29" s="215">
        <f>R29/'Anlage 1a'!R29*100</f>
        <v>3</v>
      </c>
      <c r="T29" s="216">
        <v>0</v>
      </c>
      <c r="U29" s="215">
        <f>T29/'Anlage 1a'!T29*100</f>
        <v>0</v>
      </c>
      <c r="V29" s="216">
        <v>2</v>
      </c>
      <c r="W29" s="215">
        <f>V29/'Anlage 1a'!V29*100</f>
        <v>1.6949152542372881</v>
      </c>
      <c r="X29" s="216">
        <v>2</v>
      </c>
      <c r="Y29" s="215">
        <f>X29/'Anlage 1a'!X29*100</f>
        <v>1.8867924528301887</v>
      </c>
      <c r="Z29" s="152">
        <f t="shared" si="2"/>
        <v>8</v>
      </c>
      <c r="AA29" s="218">
        <f>Z29/'Anlage 1a'!Z29*100</f>
        <v>1.2658227848101267</v>
      </c>
      <c r="AB29" s="216"/>
      <c r="AC29" s="219"/>
      <c r="AD29" s="216"/>
      <c r="AE29" s="219"/>
      <c r="AF29" s="216"/>
      <c r="AG29" s="220"/>
      <c r="AH29" s="221"/>
      <c r="AI29" s="222"/>
      <c r="AJ29" s="223">
        <f t="shared" si="3"/>
        <v>8</v>
      </c>
      <c r="AK29" s="218">
        <f>AJ29/'Anlage 1a'!AJ29*100</f>
        <v>1.2658227848101267</v>
      </c>
    </row>
    <row r="30" spans="1:37" s="123" customFormat="1" ht="14.25" hidden="1" thickBot="1" x14ac:dyDescent="0.3">
      <c r="A30" s="662" t="s">
        <v>177</v>
      </c>
      <c r="B30" s="663"/>
      <c r="C30" s="664"/>
      <c r="D30" s="665"/>
      <c r="E30" s="666"/>
      <c r="F30" s="667"/>
      <c r="G30" s="666"/>
      <c r="H30" s="667"/>
      <c r="I30" s="666"/>
      <c r="J30" s="667"/>
      <c r="K30" s="668"/>
      <c r="L30" s="663"/>
      <c r="M30" s="664"/>
      <c r="N30" s="669"/>
      <c r="O30" s="670"/>
      <c r="P30" s="671"/>
      <c r="Q30" s="670"/>
      <c r="R30" s="671"/>
      <c r="S30" s="670"/>
      <c r="T30" s="671"/>
      <c r="U30" s="670"/>
      <c r="V30" s="671"/>
      <c r="W30" s="670"/>
      <c r="X30" s="671"/>
      <c r="Y30" s="670"/>
      <c r="Z30" s="658"/>
      <c r="AA30" s="673"/>
      <c r="AB30" s="671"/>
      <c r="AC30" s="670"/>
      <c r="AD30" s="671"/>
      <c r="AE30" s="670"/>
      <c r="AF30" s="671"/>
      <c r="AG30" s="674"/>
      <c r="AH30" s="672"/>
      <c r="AI30" s="673"/>
      <c r="AJ30" s="669"/>
      <c r="AK30" s="673"/>
    </row>
    <row r="31" spans="1:37" s="123" customFormat="1" ht="14.25" thickBot="1" x14ac:dyDescent="0.3">
      <c r="A31" s="231" t="s">
        <v>55</v>
      </c>
      <c r="B31" s="182"/>
      <c r="C31" s="183"/>
      <c r="D31" s="587"/>
      <c r="E31" s="840"/>
      <c r="F31" s="588"/>
      <c r="G31" s="840"/>
      <c r="H31" s="588"/>
      <c r="I31" s="840"/>
      <c r="J31" s="588"/>
      <c r="K31" s="841"/>
      <c r="L31" s="842"/>
      <c r="M31" s="843"/>
      <c r="N31" s="204">
        <f>SUM(N29:N30)</f>
        <v>0</v>
      </c>
      <c r="O31" s="185">
        <f>N31/'Anlage 1a'!N31*100</f>
        <v>0</v>
      </c>
      <c r="P31" s="204">
        <f>SUM(P29:P30)</f>
        <v>1</v>
      </c>
      <c r="Q31" s="185">
        <f>P31/'Anlage 1a'!P31*100</f>
        <v>0.93457943925233633</v>
      </c>
      <c r="R31" s="204">
        <f>SUM(R29:R30)</f>
        <v>3</v>
      </c>
      <c r="S31" s="185">
        <f>R31/'Anlage 1a'!R31*100</f>
        <v>3</v>
      </c>
      <c r="T31" s="204">
        <f>SUM(T29:T30)</f>
        <v>0</v>
      </c>
      <c r="U31" s="185">
        <f>T31/'Anlage 1a'!T31*100</f>
        <v>0</v>
      </c>
      <c r="V31" s="204">
        <f>SUM(V29:V30)</f>
        <v>2</v>
      </c>
      <c r="W31" s="185">
        <f>V31/'Anlage 1a'!V31*100</f>
        <v>1.6949152542372881</v>
      </c>
      <c r="X31" s="204">
        <f>SUM(X29:X30)</f>
        <v>2</v>
      </c>
      <c r="Y31" s="185">
        <f>X31/'Anlage 1a'!X31*100</f>
        <v>1.8867924528301887</v>
      </c>
      <c r="Z31" s="184">
        <f t="shared" si="2"/>
        <v>8</v>
      </c>
      <c r="AA31" s="185">
        <f>Z31/'Anlage 1a'!Z31*100</f>
        <v>1.2658227848101267</v>
      </c>
      <c r="AB31" s="200"/>
      <c r="AC31" s="199"/>
      <c r="AD31" s="200"/>
      <c r="AE31" s="199"/>
      <c r="AF31" s="200"/>
      <c r="AG31" s="201"/>
      <c r="AH31" s="202"/>
      <c r="AI31" s="203"/>
      <c r="AJ31" s="204">
        <f t="shared" si="3"/>
        <v>8</v>
      </c>
      <c r="AK31" s="188">
        <f>AJ31/'Anlage 1a'!AJ31*100</f>
        <v>1.2658227848101267</v>
      </c>
    </row>
    <row r="32" spans="1:37" x14ac:dyDescent="0.25">
      <c r="A32" s="147" t="s">
        <v>39</v>
      </c>
      <c r="B32" s="232"/>
      <c r="C32" s="233"/>
      <c r="D32" s="216"/>
      <c r="E32" s="219"/>
      <c r="F32" s="216"/>
      <c r="G32" s="219"/>
      <c r="H32" s="216"/>
      <c r="I32" s="219"/>
      <c r="J32" s="216"/>
      <c r="K32" s="219"/>
      <c r="L32" s="221"/>
      <c r="M32" s="222"/>
      <c r="N32" s="216">
        <v>2</v>
      </c>
      <c r="O32" s="215">
        <f>N32/'Anlage 1a'!N32*100</f>
        <v>4.4444444444444446</v>
      </c>
      <c r="P32" s="216">
        <v>1</v>
      </c>
      <c r="Q32" s="215">
        <f>P32/'Anlage 1a'!P32*100</f>
        <v>1.5873015873015872</v>
      </c>
      <c r="R32" s="216">
        <v>2</v>
      </c>
      <c r="S32" s="215">
        <f>R32/'Anlage 1a'!R32*100</f>
        <v>3.278688524590164</v>
      </c>
      <c r="T32" s="216">
        <v>2</v>
      </c>
      <c r="U32" s="215">
        <f>T32/'Anlage 1a'!T32*100</f>
        <v>2.8571428571428572</v>
      </c>
      <c r="V32" s="216">
        <v>1</v>
      </c>
      <c r="W32" s="215">
        <f>V32/'Anlage 1a'!V32*100</f>
        <v>1.5151515151515151</v>
      </c>
      <c r="X32" s="593"/>
      <c r="Y32" s="215" t="str">
        <f>IF(X32=0,"",X32/'Anlage 1a'!X32*100)</f>
        <v/>
      </c>
      <c r="Z32" s="152">
        <f t="shared" si="2"/>
        <v>8</v>
      </c>
      <c r="AA32" s="218">
        <f>Z32/'Anlage 1a'!Z32*100</f>
        <v>2.622950819672131</v>
      </c>
      <c r="AB32" s="216">
        <v>4</v>
      </c>
      <c r="AC32" s="215">
        <f>AB32/'Anlage 1a'!AB32*100</f>
        <v>4.2553191489361701</v>
      </c>
      <c r="AD32" s="216">
        <v>2</v>
      </c>
      <c r="AE32" s="215">
        <f>AD32/'Anlage 1a'!AD32*100</f>
        <v>2.4691358024691357</v>
      </c>
      <c r="AF32" s="216">
        <v>1</v>
      </c>
      <c r="AG32" s="215">
        <f>AF32/'Anlage 1a'!AF32*100</f>
        <v>1.2195121951219512</v>
      </c>
      <c r="AH32" s="217">
        <f>SUM(AB32,AD32,AF32)</f>
        <v>7</v>
      </c>
      <c r="AI32" s="218">
        <f>AH32/'Anlage 1a'!AH32*100</f>
        <v>2.7237354085603114</v>
      </c>
      <c r="AJ32" s="234">
        <f t="shared" si="3"/>
        <v>15</v>
      </c>
      <c r="AK32" s="218">
        <f>AJ32/'Anlage 1a'!AJ32*100</f>
        <v>2.6690391459074734</v>
      </c>
    </row>
    <row r="33" spans="1:37" x14ac:dyDescent="0.25">
      <c r="A33" s="147" t="s">
        <v>40</v>
      </c>
      <c r="B33" s="148"/>
      <c r="C33" s="149"/>
      <c r="D33" s="150"/>
      <c r="E33" s="154"/>
      <c r="F33" s="150"/>
      <c r="G33" s="154"/>
      <c r="H33" s="150"/>
      <c r="I33" s="154"/>
      <c r="J33" s="150"/>
      <c r="K33" s="154"/>
      <c r="L33" s="155"/>
      <c r="M33" s="156"/>
      <c r="N33" s="150">
        <v>1</v>
      </c>
      <c r="O33" s="151">
        <f>N33/'Anlage 1a'!N33*100</f>
        <v>0.71942446043165476</v>
      </c>
      <c r="P33" s="150">
        <v>0</v>
      </c>
      <c r="Q33" s="151">
        <f>P33/'Anlage 1a'!P33*100</f>
        <v>0</v>
      </c>
      <c r="R33" s="150">
        <v>0</v>
      </c>
      <c r="S33" s="151">
        <f>R33/'Anlage 1a'!R33*100</f>
        <v>0</v>
      </c>
      <c r="T33" s="150">
        <v>0</v>
      </c>
      <c r="U33" s="151">
        <f>T33/'Anlage 1a'!T33*100</f>
        <v>0</v>
      </c>
      <c r="V33" s="150">
        <v>0</v>
      </c>
      <c r="W33" s="151">
        <f>V33/'Anlage 1a'!V33*100</f>
        <v>0</v>
      </c>
      <c r="X33" s="585"/>
      <c r="Y33" s="215" t="str">
        <f>IF(X33=0,"",X33/'Anlage 1a'!X33*100)</f>
        <v/>
      </c>
      <c r="Z33" s="152">
        <f t="shared" si="2"/>
        <v>1</v>
      </c>
      <c r="AA33" s="153">
        <f>Z33/'Anlage 1a'!Z33*100</f>
        <v>0.13986013986013987</v>
      </c>
      <c r="AB33" s="150">
        <v>0</v>
      </c>
      <c r="AC33" s="151">
        <f>AB33/'Anlage 1a'!AB33*100</f>
        <v>0</v>
      </c>
      <c r="AD33" s="150">
        <v>0</v>
      </c>
      <c r="AE33" s="151">
        <f>AD33/'Anlage 1a'!AD33*100</f>
        <v>0</v>
      </c>
      <c r="AF33" s="150">
        <v>0</v>
      </c>
      <c r="AG33" s="151">
        <f>AF33/'Anlage 1a'!AF33*100</f>
        <v>0</v>
      </c>
      <c r="AH33" s="152">
        <f>SUM(AB33,AD33,AF33)</f>
        <v>0</v>
      </c>
      <c r="AI33" s="153">
        <f>AH33/'Anlage 1a'!AH33*100</f>
        <v>0</v>
      </c>
      <c r="AJ33" s="234">
        <f t="shared" si="3"/>
        <v>1</v>
      </c>
      <c r="AK33" s="153">
        <f>AJ33/'Anlage 1a'!AJ33*100</f>
        <v>8.6956521739130432E-2</v>
      </c>
    </row>
    <row r="34" spans="1:37" x14ac:dyDescent="0.25">
      <c r="A34" s="147" t="s">
        <v>41</v>
      </c>
      <c r="B34" s="148"/>
      <c r="C34" s="149"/>
      <c r="D34" s="150"/>
      <c r="E34" s="154"/>
      <c r="F34" s="150"/>
      <c r="G34" s="154"/>
      <c r="H34" s="150"/>
      <c r="I34" s="154"/>
      <c r="J34" s="150"/>
      <c r="K34" s="154"/>
      <c r="L34" s="155"/>
      <c r="M34" s="156"/>
      <c r="N34" s="150">
        <v>0</v>
      </c>
      <c r="O34" s="151">
        <f>N34/'Anlage 1a'!N34*100</f>
        <v>0</v>
      </c>
      <c r="P34" s="150">
        <v>1</v>
      </c>
      <c r="Q34" s="151">
        <f>P34/'Anlage 1a'!P34*100</f>
        <v>0.71942446043165476</v>
      </c>
      <c r="R34" s="150">
        <v>0</v>
      </c>
      <c r="S34" s="151">
        <f>R34/'Anlage 1a'!R34*100</f>
        <v>0</v>
      </c>
      <c r="T34" s="150">
        <v>0</v>
      </c>
      <c r="U34" s="151">
        <f>T34/'Anlage 1a'!T34*100</f>
        <v>0</v>
      </c>
      <c r="V34" s="150">
        <v>0</v>
      </c>
      <c r="W34" s="151">
        <f>V34/'Anlage 1a'!V34*100</f>
        <v>0</v>
      </c>
      <c r="X34" s="585"/>
      <c r="Y34" s="215" t="str">
        <f>IF(X34=0,"",X34/'Anlage 1a'!X34*100)</f>
        <v/>
      </c>
      <c r="Z34" s="152">
        <f t="shared" si="2"/>
        <v>1</v>
      </c>
      <c r="AA34" s="153">
        <f>Z34/'Anlage 1a'!Z34*100</f>
        <v>0.18083182640144665</v>
      </c>
      <c r="AB34" s="150">
        <v>0</v>
      </c>
      <c r="AC34" s="151">
        <f>AB34/'Anlage 1a'!AB34*100</f>
        <v>0</v>
      </c>
      <c r="AD34" s="150">
        <v>0</v>
      </c>
      <c r="AE34" s="151">
        <f>AD34/'Anlage 1a'!AD34*100</f>
        <v>0</v>
      </c>
      <c r="AF34" s="150">
        <v>0</v>
      </c>
      <c r="AG34" s="151">
        <f>AF34/'Anlage 1a'!AF34*100</f>
        <v>0</v>
      </c>
      <c r="AH34" s="152">
        <f>SUM(AB34,AD34,AF34)</f>
        <v>0</v>
      </c>
      <c r="AI34" s="153">
        <f>AH34/'Anlage 1a'!AH34*100</f>
        <v>0</v>
      </c>
      <c r="AJ34" s="234">
        <f t="shared" si="3"/>
        <v>1</v>
      </c>
      <c r="AK34" s="153">
        <f>AJ34/'Anlage 1a'!AJ34*100</f>
        <v>0.117096018735363</v>
      </c>
    </row>
    <row r="35" spans="1:37" ht="14.25" thickBot="1" x14ac:dyDescent="0.3">
      <c r="A35" s="147" t="s">
        <v>42</v>
      </c>
      <c r="B35" s="148"/>
      <c r="C35" s="149"/>
      <c r="D35" s="150"/>
      <c r="E35" s="154"/>
      <c r="F35" s="150"/>
      <c r="G35" s="154"/>
      <c r="H35" s="150"/>
      <c r="I35" s="154"/>
      <c r="J35" s="150"/>
      <c r="K35" s="154"/>
      <c r="L35" s="155"/>
      <c r="M35" s="156"/>
      <c r="N35" s="150">
        <v>0</v>
      </c>
      <c r="O35" s="151">
        <f>N35/'Anlage 1a'!N35*100</f>
        <v>0</v>
      </c>
      <c r="P35" s="150">
        <v>0</v>
      </c>
      <c r="Q35" s="151">
        <f>P35/'Anlage 1a'!P35*100</f>
        <v>0</v>
      </c>
      <c r="R35" s="150">
        <v>0</v>
      </c>
      <c r="S35" s="151">
        <f>R35/'Anlage 1a'!R35*100</f>
        <v>0</v>
      </c>
      <c r="T35" s="150">
        <v>3</v>
      </c>
      <c r="U35" s="151">
        <f>T35/'Anlage 1a'!T35*100</f>
        <v>2.8301886792452833</v>
      </c>
      <c r="V35" s="150">
        <v>1</v>
      </c>
      <c r="W35" s="151">
        <f>V35/'Anlage 1a'!V35*100</f>
        <v>0.91743119266055051</v>
      </c>
      <c r="X35" s="585"/>
      <c r="Y35" s="255" t="str">
        <f>IF(X35=0,"",X35/'Anlage 1a'!X35*100)</f>
        <v/>
      </c>
      <c r="Z35" s="152">
        <f t="shared" si="2"/>
        <v>4</v>
      </c>
      <c r="AA35" s="153">
        <f>Z35/'Anlage 1a'!Z35*100</f>
        <v>0.80160320641282556</v>
      </c>
      <c r="AB35" s="150">
        <v>0</v>
      </c>
      <c r="AC35" s="151">
        <f>AB35/'Anlage 1a'!AB35*100</f>
        <v>0</v>
      </c>
      <c r="AD35" s="150">
        <v>1</v>
      </c>
      <c r="AE35" s="151">
        <f>AD35/'Anlage 1a'!AD35*100</f>
        <v>1.1111111111111112</v>
      </c>
      <c r="AF35" s="150">
        <v>0</v>
      </c>
      <c r="AG35" s="151">
        <f>AF35/'Anlage 1a'!AF35*100</f>
        <v>0</v>
      </c>
      <c r="AH35" s="152">
        <f>SUM(AB35,AD35,AF35)</f>
        <v>1</v>
      </c>
      <c r="AI35" s="153">
        <f>AH35/'Anlage 1a'!AH35*100</f>
        <v>0.38167938931297707</v>
      </c>
      <c r="AJ35" s="234">
        <f t="shared" si="3"/>
        <v>5</v>
      </c>
      <c r="AK35" s="153">
        <f>AJ35/'Anlage 1a'!AJ35*100</f>
        <v>0.65703022339027595</v>
      </c>
    </row>
    <row r="36" spans="1:37" s="123" customFormat="1" ht="14.25" thickBot="1" x14ac:dyDescent="0.3">
      <c r="A36" s="198" t="s">
        <v>43</v>
      </c>
      <c r="B36" s="182"/>
      <c r="C36" s="183"/>
      <c r="D36" s="588"/>
      <c r="E36" s="840"/>
      <c r="F36" s="588"/>
      <c r="G36" s="840"/>
      <c r="H36" s="588"/>
      <c r="I36" s="840"/>
      <c r="J36" s="588"/>
      <c r="K36" s="840"/>
      <c r="L36" s="842"/>
      <c r="M36" s="843"/>
      <c r="N36" s="184">
        <f>SUM(N32:N35)</f>
        <v>3</v>
      </c>
      <c r="O36" s="185">
        <f>N36/'Anlage 1a'!N36*100</f>
        <v>0.81967213114754101</v>
      </c>
      <c r="P36" s="184">
        <f>SUM(P32:P35)</f>
        <v>2</v>
      </c>
      <c r="Q36" s="185">
        <f>P36/'Anlage 1a'!P36*100</f>
        <v>0.43763676148796499</v>
      </c>
      <c r="R36" s="184">
        <f>SUM(R32:R35)</f>
        <v>2</v>
      </c>
      <c r="S36" s="185">
        <f>R36/'Anlage 1a'!R36*100</f>
        <v>0.48076923076923078</v>
      </c>
      <c r="T36" s="184">
        <f>SUM(T32:T35)</f>
        <v>5</v>
      </c>
      <c r="U36" s="185">
        <f>T36/'Anlage 1a'!T36*100</f>
        <v>1.1961722488038278</v>
      </c>
      <c r="V36" s="184">
        <f>SUM(V32:V35)</f>
        <v>2</v>
      </c>
      <c r="W36" s="185">
        <f>V36/'Anlage 1a'!V36*100</f>
        <v>0.48192771084337355</v>
      </c>
      <c r="X36" s="184">
        <f>SUM(X32:X35)</f>
        <v>0</v>
      </c>
      <c r="Y36" s="188">
        <f>IF(X36=0,0,X36/'Anlage 1a'!X36*100)</f>
        <v>0</v>
      </c>
      <c r="Z36" s="187">
        <f>SUM(Z32:Z35)</f>
        <v>14</v>
      </c>
      <c r="AA36" s="188">
        <f>Z36/'Anlage 1a'!Z36*100</f>
        <v>0.67567567567567566</v>
      </c>
      <c r="AB36" s="184">
        <f>SUM(AB32:AB35)</f>
        <v>4</v>
      </c>
      <c r="AC36" s="185">
        <f>AB36/'Anlage 1a'!AB36*100</f>
        <v>0.92165898617511521</v>
      </c>
      <c r="AD36" s="184">
        <f>SUM(AD32:AD35)</f>
        <v>3</v>
      </c>
      <c r="AE36" s="185">
        <f>AD36/'Anlage 1a'!AD36*100</f>
        <v>0.67567567567567566</v>
      </c>
      <c r="AF36" s="184"/>
      <c r="AG36" s="185">
        <f>AF36/'Anlage 1a'!AF36*100</f>
        <v>0</v>
      </c>
      <c r="AH36" s="187">
        <f>SUM(AH32:AH35)</f>
        <v>8</v>
      </c>
      <c r="AI36" s="188">
        <f>AH36/'Anlage 1a'!AH36*100</f>
        <v>0.63745019920318724</v>
      </c>
      <c r="AJ36" s="184">
        <f>SUM(AJ32:AJ35)</f>
        <v>22</v>
      </c>
      <c r="AK36" s="188">
        <f>AJ36/'Anlage 1a'!AJ36*100</f>
        <v>0.66125638713555757</v>
      </c>
    </row>
    <row r="37" spans="1:37" x14ac:dyDescent="0.25">
      <c r="A37" s="147" t="s">
        <v>44</v>
      </c>
      <c r="B37" s="148"/>
      <c r="C37" s="149"/>
      <c r="D37" s="150"/>
      <c r="E37" s="154"/>
      <c r="F37" s="150"/>
      <c r="G37" s="154"/>
      <c r="H37" s="150"/>
      <c r="I37" s="154"/>
      <c r="J37" s="150"/>
      <c r="K37" s="154"/>
      <c r="L37" s="155"/>
      <c r="M37" s="156"/>
      <c r="N37" s="150">
        <v>1</v>
      </c>
      <c r="O37" s="151">
        <f>N37/'Anlage 1a'!N37*100</f>
        <v>0.72992700729927007</v>
      </c>
      <c r="P37" s="150">
        <v>2</v>
      </c>
      <c r="Q37" s="151">
        <f>P37/'Anlage 1a'!P37*100</f>
        <v>1.3698630136986301</v>
      </c>
      <c r="R37" s="150">
        <v>1</v>
      </c>
      <c r="S37" s="151">
        <f>R37/'Anlage 1a'!R37*100</f>
        <v>0.7142857142857143</v>
      </c>
      <c r="T37" s="150">
        <v>3</v>
      </c>
      <c r="U37" s="151">
        <f>T37/'Anlage 1a'!T37*100</f>
        <v>2.054794520547945</v>
      </c>
      <c r="V37" s="150">
        <v>4</v>
      </c>
      <c r="W37" s="151">
        <f>V37/'Anlage 1a'!V37*100</f>
        <v>2.6845637583892619</v>
      </c>
      <c r="X37" s="150">
        <v>3</v>
      </c>
      <c r="Y37" s="151">
        <f>X37/'Anlage 1a'!X37*100</f>
        <v>2.8846153846153846</v>
      </c>
      <c r="Z37" s="152">
        <f>SUM(N37,P37,R37,T37,V37,X37)</f>
        <v>14</v>
      </c>
      <c r="AA37" s="153">
        <f>Z37/'Anlage 1a'!Z37*100</f>
        <v>1.7031630170316301</v>
      </c>
      <c r="AB37" s="150">
        <v>1</v>
      </c>
      <c r="AC37" s="151">
        <f>AB37/'Anlage 1a'!AB37*100</f>
        <v>1.2345679012345678</v>
      </c>
      <c r="AD37" s="150">
        <v>1</v>
      </c>
      <c r="AE37" s="151">
        <f>AD37/'Anlage 1a'!AD37*100</f>
        <v>2.6315789473684208</v>
      </c>
      <c r="AF37" s="150">
        <v>0</v>
      </c>
      <c r="AG37" s="151">
        <f>AF37/'Anlage 1a'!AF37*100</f>
        <v>0</v>
      </c>
      <c r="AH37" s="152">
        <f>SUM(AB37,AD37,AF37)</f>
        <v>2</v>
      </c>
      <c r="AI37" s="153">
        <f>AH37/'Anlage 1a'!AH37*100</f>
        <v>1.1111111111111112</v>
      </c>
      <c r="AJ37" s="157">
        <f>SUM(L37,Z37,AH37)</f>
        <v>16</v>
      </c>
      <c r="AK37" s="153">
        <f>AJ37/'Anlage 1a'!AJ37*100</f>
        <v>1.5968063872255487</v>
      </c>
    </row>
    <row r="38" spans="1:37" x14ac:dyDescent="0.25">
      <c r="A38" s="147" t="s">
        <v>52</v>
      </c>
      <c r="B38" s="148"/>
      <c r="C38" s="149"/>
      <c r="D38" s="150"/>
      <c r="E38" s="154"/>
      <c r="F38" s="150"/>
      <c r="G38" s="154"/>
      <c r="H38" s="150"/>
      <c r="I38" s="154"/>
      <c r="J38" s="150"/>
      <c r="K38" s="154"/>
      <c r="L38" s="155"/>
      <c r="M38" s="156"/>
      <c r="N38" s="150">
        <v>0</v>
      </c>
      <c r="O38" s="151">
        <f>N38/'Anlage 1a'!N38*100</f>
        <v>0</v>
      </c>
      <c r="P38" s="150">
        <v>2</v>
      </c>
      <c r="Q38" s="151">
        <f>P38/'Anlage 1a'!P38*100</f>
        <v>1.7543859649122806</v>
      </c>
      <c r="R38" s="150">
        <v>1</v>
      </c>
      <c r="S38" s="151">
        <f>R38/'Anlage 1a'!R38*100</f>
        <v>0.91743119266055051</v>
      </c>
      <c r="T38" s="150">
        <v>4</v>
      </c>
      <c r="U38" s="151">
        <f>T38/'Anlage 1a'!T38*100</f>
        <v>2.7586206896551726</v>
      </c>
      <c r="V38" s="150">
        <v>4</v>
      </c>
      <c r="W38" s="151">
        <f>V38/'Anlage 1a'!V38*100</f>
        <v>2.6845637583892619</v>
      </c>
      <c r="X38" s="150">
        <v>0</v>
      </c>
      <c r="Y38" s="151">
        <f>X38/'Anlage 1a'!X38*100</f>
        <v>0</v>
      </c>
      <c r="Z38" s="152">
        <f>SUM(N38,P38,R38,T38,V38,X38)</f>
        <v>11</v>
      </c>
      <c r="AA38" s="153">
        <f>Z38/'Anlage 1a'!Z38*100</f>
        <v>1.4066496163682864</v>
      </c>
      <c r="AB38" s="150">
        <v>2</v>
      </c>
      <c r="AC38" s="151">
        <f>AB38/'Anlage 1a'!AB38*100</f>
        <v>3.5087719298245612</v>
      </c>
      <c r="AD38" s="150">
        <v>1</v>
      </c>
      <c r="AE38" s="151">
        <f>AD38/'Anlage 1a'!AD38*100</f>
        <v>1.639344262295082</v>
      </c>
      <c r="AF38" s="150">
        <v>1</v>
      </c>
      <c r="AG38" s="151">
        <f>AF38/'Anlage 1a'!AF38*100</f>
        <v>2</v>
      </c>
      <c r="AH38" s="152">
        <f>SUM(AB38,AD38,AF38)</f>
        <v>4</v>
      </c>
      <c r="AI38" s="153">
        <f>AH38/'Anlage 1a'!AH38*100</f>
        <v>2.3809523809523809</v>
      </c>
      <c r="AJ38" s="157">
        <f>SUM(L38,Z38,AH38)</f>
        <v>15</v>
      </c>
      <c r="AK38" s="153">
        <f>AJ38/'Anlage 1a'!AJ38*100</f>
        <v>1.5789473684210527</v>
      </c>
    </row>
    <row r="39" spans="1:37" ht="14.25" thickBot="1" x14ac:dyDescent="0.3">
      <c r="A39" s="147" t="s">
        <v>45</v>
      </c>
      <c r="B39" s="148"/>
      <c r="C39" s="149"/>
      <c r="D39" s="150"/>
      <c r="E39" s="154"/>
      <c r="F39" s="150"/>
      <c r="G39" s="154"/>
      <c r="H39" s="150"/>
      <c r="I39" s="154"/>
      <c r="J39" s="150"/>
      <c r="K39" s="154"/>
      <c r="L39" s="155"/>
      <c r="M39" s="156"/>
      <c r="N39" s="150">
        <v>0</v>
      </c>
      <c r="O39" s="151">
        <f>N39/'Anlage 1a'!N39*100</f>
        <v>0</v>
      </c>
      <c r="P39" s="150">
        <v>1</v>
      </c>
      <c r="Q39" s="151">
        <f>P39/'Anlage 1a'!P39*100</f>
        <v>0.83333333333333337</v>
      </c>
      <c r="R39" s="150">
        <v>0</v>
      </c>
      <c r="S39" s="151">
        <f>R39/'Anlage 1a'!R39*100</f>
        <v>0</v>
      </c>
      <c r="T39" s="150">
        <v>0</v>
      </c>
      <c r="U39" s="151">
        <f>T39/'Anlage 1a'!T39*100</f>
        <v>0</v>
      </c>
      <c r="V39" s="150">
        <v>3</v>
      </c>
      <c r="W39" s="151">
        <f>V39/'Anlage 1a'!V39*100</f>
        <v>2.5641025641025639</v>
      </c>
      <c r="X39" s="150">
        <v>3</v>
      </c>
      <c r="Y39" s="151">
        <f>X39/'Anlage 1a'!X39*100</f>
        <v>2.5</v>
      </c>
      <c r="Z39" s="152">
        <f>SUM(N39,P39,R39,T39,V39,X39)</f>
        <v>7</v>
      </c>
      <c r="AA39" s="153">
        <f>Z39/'Anlage 1a'!Z39*100</f>
        <v>0.9859154929577465</v>
      </c>
      <c r="AB39" s="150">
        <v>0</v>
      </c>
      <c r="AC39" s="151">
        <f>AB39/'Anlage 1a'!AB39*100</f>
        <v>0</v>
      </c>
      <c r="AD39" s="150">
        <v>2</v>
      </c>
      <c r="AE39" s="151">
        <f>AD39/'Anlage 1a'!AD39*100</f>
        <v>2.2471910112359552</v>
      </c>
      <c r="AF39" s="150">
        <v>0</v>
      </c>
      <c r="AG39" s="151">
        <f>AF39/'Anlage 1a'!AF39*100</f>
        <v>0</v>
      </c>
      <c r="AH39" s="152">
        <f>SUM(AB39,AD39,AF39)</f>
        <v>2</v>
      </c>
      <c r="AI39" s="153">
        <f>AH39/'Anlage 1a'!AH39*100</f>
        <v>0.78125</v>
      </c>
      <c r="AJ39" s="157">
        <f>SUM(L39,Z39,AH39)</f>
        <v>9</v>
      </c>
      <c r="AK39" s="153">
        <f>AJ39/'Anlage 1a'!AJ39*100</f>
        <v>0.93167701863354035</v>
      </c>
    </row>
    <row r="40" spans="1:37" s="123" customFormat="1" ht="14.25" thickBot="1" x14ac:dyDescent="0.3">
      <c r="A40" s="198" t="s">
        <v>46</v>
      </c>
      <c r="B40" s="182"/>
      <c r="C40" s="183"/>
      <c r="D40" s="588"/>
      <c r="E40" s="840"/>
      <c r="F40" s="588"/>
      <c r="G40" s="840"/>
      <c r="H40" s="588"/>
      <c r="I40" s="840"/>
      <c r="J40" s="588"/>
      <c r="K40" s="840"/>
      <c r="L40" s="842"/>
      <c r="M40" s="843"/>
      <c r="N40" s="184">
        <f>SUM(N37:N39)</f>
        <v>1</v>
      </c>
      <c r="O40" s="185">
        <f>N40/'Anlage 1a'!N40*100</f>
        <v>0.25575447570332482</v>
      </c>
      <c r="P40" s="184">
        <f>SUM(P37:P39)</f>
        <v>5</v>
      </c>
      <c r="Q40" s="185">
        <f>P40/'Anlage 1a'!P40*100</f>
        <v>1.3157894736842104</v>
      </c>
      <c r="R40" s="184">
        <f>SUM(R37:R39)</f>
        <v>2</v>
      </c>
      <c r="S40" s="185">
        <f>R40/'Anlage 1a'!R40*100</f>
        <v>0.54644808743169404</v>
      </c>
      <c r="T40" s="184">
        <f>SUM(T37:T39)</f>
        <v>7</v>
      </c>
      <c r="U40" s="185">
        <f>T40/'Anlage 1a'!T40*100</f>
        <v>1.7073170731707319</v>
      </c>
      <c r="V40" s="184">
        <f>SUM(V37:V39)</f>
        <v>11</v>
      </c>
      <c r="W40" s="185">
        <f>V40/'Anlage 1a'!V40*100</f>
        <v>2.6506024096385543</v>
      </c>
      <c r="X40" s="184">
        <f>SUM(X37:X39)</f>
        <v>6</v>
      </c>
      <c r="Y40" s="185">
        <f>X40/'Anlage 1a'!X40*100</f>
        <v>1.7045454545454544</v>
      </c>
      <c r="Z40" s="187">
        <f>SUM(Z37:Z39)</f>
        <v>32</v>
      </c>
      <c r="AA40" s="188">
        <f>Z40/'Anlage 1a'!Z40*100</f>
        <v>1.3828867761452031</v>
      </c>
      <c r="AB40" s="184">
        <f>SUM(AB37:AB39)</f>
        <v>3</v>
      </c>
      <c r="AC40" s="185">
        <f>AB40/'Anlage 1a'!AB40*100</f>
        <v>1.3157894736842104</v>
      </c>
      <c r="AD40" s="184">
        <f>SUM(AD37:AD39)</f>
        <v>4</v>
      </c>
      <c r="AE40" s="185">
        <f>AD40/'Anlage 1a'!AD40*100</f>
        <v>2.1276595744680851</v>
      </c>
      <c r="AF40" s="184">
        <f>SUM(AF37:AF39)</f>
        <v>1</v>
      </c>
      <c r="AG40" s="185">
        <f>AF40/'Anlage 1a'!AF40*100</f>
        <v>0.53191489361702127</v>
      </c>
      <c r="AH40" s="187">
        <f>SUM(AH37:AH39)</f>
        <v>8</v>
      </c>
      <c r="AI40" s="188">
        <f>AH40/'Anlage 1a'!AH40*100</f>
        <v>1.3245033112582782</v>
      </c>
      <c r="AJ40" s="184">
        <f>SUM(AJ37:AJ39)</f>
        <v>40</v>
      </c>
      <c r="AK40" s="188">
        <f>AJ40/'Anlage 1a'!AJ40*100</f>
        <v>1.3708019191226868</v>
      </c>
    </row>
    <row r="41" spans="1:37" s="123" customFormat="1" ht="20.100000000000001" customHeight="1" thickBot="1" x14ac:dyDescent="0.3">
      <c r="A41" s="181" t="s">
        <v>47</v>
      </c>
      <c r="B41" s="182"/>
      <c r="C41" s="183"/>
      <c r="D41" s="256"/>
      <c r="E41" s="257"/>
      <c r="F41" s="256"/>
      <c r="G41" s="257"/>
      <c r="H41" s="256"/>
      <c r="I41" s="257"/>
      <c r="J41" s="256"/>
      <c r="K41" s="257"/>
      <c r="L41" s="193"/>
      <c r="M41" s="194"/>
      <c r="N41" s="258">
        <f>SUM(N28,N31,N36,N40)</f>
        <v>4</v>
      </c>
      <c r="O41" s="259">
        <f>N41/'Anlage 1a'!N41*100</f>
        <v>0.44004400440044</v>
      </c>
      <c r="P41" s="258">
        <f>SUM(P28,P31,P36,P40)</f>
        <v>8</v>
      </c>
      <c r="Q41" s="259">
        <f>P41/'Anlage 1a'!P41*100</f>
        <v>0.80808080808080807</v>
      </c>
      <c r="R41" s="258">
        <f>SUM(R28,R31,R36,R40)</f>
        <v>12</v>
      </c>
      <c r="S41" s="259">
        <f>R41/'Anlage 1a'!R41*100</f>
        <v>1.3071895424836601</v>
      </c>
      <c r="T41" s="258">
        <f>SUM(T28,T31,T36,T40)</f>
        <v>12</v>
      </c>
      <c r="U41" s="259">
        <f>T41/'Anlage 1a'!T41*100</f>
        <v>1.2244897959183674</v>
      </c>
      <c r="V41" s="258">
        <f>SUM(V28,V31,V36,V40)</f>
        <v>17</v>
      </c>
      <c r="W41" s="259">
        <f>V41/'Anlage 1a'!V41*100</f>
        <v>1.7085427135678393</v>
      </c>
      <c r="X41" s="258">
        <f>SUM(X28,X31,X36,X40)</f>
        <v>8</v>
      </c>
      <c r="Y41" s="259">
        <f>X41/'Anlage 1a'!X41*100</f>
        <v>1.5841584158415842</v>
      </c>
      <c r="Z41" s="235">
        <f>SUM(Z28,Z31,Z36,Z40)</f>
        <v>61</v>
      </c>
      <c r="AA41" s="236">
        <f>Z41/'Anlage 1a'!Z41*100</f>
        <v>1.1515952425901455</v>
      </c>
      <c r="AB41" s="191">
        <f>SUM(AB28,AB31,AB36,AB40)</f>
        <v>7</v>
      </c>
      <c r="AC41" s="185">
        <f>AB41/'Anlage 1a'!AB41*100</f>
        <v>1.0574018126888218</v>
      </c>
      <c r="AD41" s="191">
        <f>SUM(AD28,AD31,AD36,AD40)</f>
        <v>7</v>
      </c>
      <c r="AE41" s="185">
        <f>AD41/'Anlage 1a'!AD41*100</f>
        <v>1.1075949367088607</v>
      </c>
      <c r="AF41" s="191">
        <f>SUM(AF28,AF31,AF36,AF40)</f>
        <v>1</v>
      </c>
      <c r="AG41" s="185">
        <f>AF41/'Anlage 1a'!AF41*100</f>
        <v>0.17699115044247787</v>
      </c>
      <c r="AH41" s="260">
        <f>SUM(AH28,AH31,AH36,AH40)</f>
        <v>16</v>
      </c>
      <c r="AI41" s="236">
        <f>AH41/'Anlage 1a'!AH41*100</f>
        <v>0.86067778375470672</v>
      </c>
      <c r="AJ41" s="184">
        <f>SUM(AJ28,AJ31,AJ36,AJ40)</f>
        <v>77</v>
      </c>
      <c r="AK41" s="188">
        <f>AJ41/'Anlage 1a'!AJ41*100</f>
        <v>1.0760201229737283</v>
      </c>
    </row>
    <row r="42" spans="1:37" s="123" customFormat="1" hidden="1" x14ac:dyDescent="0.25">
      <c r="A42" s="719" t="s">
        <v>175</v>
      </c>
      <c r="B42" s="677"/>
      <c r="C42" s="678"/>
      <c r="D42" s="683"/>
      <c r="E42" s="680"/>
      <c r="F42" s="681"/>
      <c r="G42" s="680"/>
      <c r="H42" s="681"/>
      <c r="I42" s="680"/>
      <c r="J42" s="681"/>
      <c r="K42" s="684"/>
      <c r="L42" s="679"/>
      <c r="M42" s="685"/>
      <c r="N42" s="683"/>
      <c r="O42" s="680"/>
      <c r="P42" s="681"/>
      <c r="Q42" s="680"/>
      <c r="R42" s="681"/>
      <c r="S42" s="661"/>
      <c r="T42" s="681"/>
      <c r="U42" s="680"/>
      <c r="V42" s="681"/>
      <c r="W42" s="680"/>
      <c r="X42" s="681"/>
      <c r="Y42" s="685"/>
      <c r="Z42" s="683"/>
      <c r="AA42" s="684"/>
      <c r="AB42" s="686"/>
      <c r="AC42" s="687"/>
      <c r="AD42" s="688"/>
      <c r="AE42" s="687"/>
      <c r="AF42" s="688"/>
      <c r="AG42" s="720"/>
      <c r="AH42" s="721"/>
      <c r="AI42" s="690"/>
      <c r="AJ42" s="679"/>
      <c r="AK42" s="684"/>
    </row>
    <row r="43" spans="1:37" s="123" customFormat="1" ht="14.25" hidden="1" thickBot="1" x14ac:dyDescent="0.3">
      <c r="A43" s="722" t="s">
        <v>176</v>
      </c>
      <c r="B43" s="692"/>
      <c r="C43" s="693"/>
      <c r="D43" s="692"/>
      <c r="E43" s="695"/>
      <c r="F43" s="696"/>
      <c r="G43" s="695"/>
      <c r="H43" s="696"/>
      <c r="I43" s="695"/>
      <c r="J43" s="696"/>
      <c r="K43" s="699"/>
      <c r="L43" s="694"/>
      <c r="M43" s="698"/>
      <c r="N43" s="692"/>
      <c r="O43" s="695"/>
      <c r="P43" s="696"/>
      <c r="Q43" s="695"/>
      <c r="R43" s="696"/>
      <c r="S43" s="695"/>
      <c r="T43" s="696"/>
      <c r="U43" s="695"/>
      <c r="V43" s="696"/>
      <c r="W43" s="695"/>
      <c r="X43" s="696"/>
      <c r="Y43" s="698"/>
      <c r="Z43" s="692"/>
      <c r="AA43" s="699"/>
      <c r="AB43" s="700"/>
      <c r="AC43" s="701"/>
      <c r="AD43" s="702"/>
      <c r="AE43" s="701"/>
      <c r="AF43" s="702"/>
      <c r="AG43" s="723"/>
      <c r="AH43" s="724"/>
      <c r="AI43" s="704"/>
      <c r="AJ43" s="694"/>
      <c r="AK43" s="699"/>
    </row>
    <row r="44" spans="1:37" s="123" customFormat="1" ht="14.25" hidden="1" thickBot="1" x14ac:dyDescent="0.3">
      <c r="A44" s="705" t="s">
        <v>178</v>
      </c>
      <c r="B44" s="706"/>
      <c r="C44" s="707"/>
      <c r="D44" s="708"/>
      <c r="E44" s="709"/>
      <c r="F44" s="710"/>
      <c r="G44" s="709"/>
      <c r="H44" s="710"/>
      <c r="I44" s="709"/>
      <c r="J44" s="710"/>
      <c r="K44" s="709"/>
      <c r="L44" s="706"/>
      <c r="M44" s="711"/>
      <c r="N44" s="710"/>
      <c r="O44" s="711"/>
      <c r="P44" s="710"/>
      <c r="Q44" s="709"/>
      <c r="R44" s="710"/>
      <c r="S44" s="709"/>
      <c r="T44" s="710"/>
      <c r="U44" s="709"/>
      <c r="V44" s="710"/>
      <c r="W44" s="709"/>
      <c r="X44" s="710"/>
      <c r="Y44" s="709"/>
      <c r="Z44" s="706"/>
      <c r="AA44" s="711"/>
      <c r="AB44" s="710"/>
      <c r="AC44" s="709"/>
      <c r="AD44" s="710"/>
      <c r="AE44" s="709"/>
      <c r="AF44" s="710"/>
      <c r="AG44" s="709"/>
      <c r="AH44" s="712"/>
      <c r="AI44" s="713"/>
      <c r="AJ44" s="706"/>
      <c r="AK44" s="711"/>
    </row>
    <row r="45" spans="1:37" s="123" customFormat="1" ht="14.25" thickBot="1" x14ac:dyDescent="0.3">
      <c r="A45" s="181" t="s">
        <v>48</v>
      </c>
      <c r="B45" s="245"/>
      <c r="C45" s="183"/>
      <c r="D45" s="246">
        <f>SUM(D26,D44)</f>
        <v>9</v>
      </c>
      <c r="E45" s="185">
        <f>D45/'Anlage 1a'!D45*100</f>
        <v>1.0714285714285714</v>
      </c>
      <c r="F45" s="246">
        <f>SUM(F26,F44)</f>
        <v>17</v>
      </c>
      <c r="G45" s="185">
        <f>F45/'Anlage 1a'!F45*100</f>
        <v>1.8240343347639485</v>
      </c>
      <c r="H45" s="246">
        <f>SUM(H26,H44)</f>
        <v>19</v>
      </c>
      <c r="I45" s="185">
        <f>H45/'Anlage 1a'!H45*100</f>
        <v>2.1541950113378685</v>
      </c>
      <c r="J45" s="246">
        <f>SUM(J26,J44)</f>
        <v>25</v>
      </c>
      <c r="K45" s="185">
        <f>J45/'Anlage 1a'!J45*100</f>
        <v>2.8344671201814062</v>
      </c>
      <c r="L45" s="247">
        <f>SUM(L26,L44)</f>
        <v>70</v>
      </c>
      <c r="M45" s="188">
        <f>L45/'Anlage 1a'!L45*100</f>
        <v>1.9796380090497736</v>
      </c>
      <c r="N45" s="246">
        <f>N41+N44</f>
        <v>4</v>
      </c>
      <c r="O45" s="185">
        <f>N45/'Anlage 1a'!N45*100</f>
        <v>0.44004400440044</v>
      </c>
      <c r="P45" s="246">
        <f>P41+P44</f>
        <v>8</v>
      </c>
      <c r="Q45" s="185">
        <f>P45/'Anlage 1a'!P45*100</f>
        <v>0.80808080808080807</v>
      </c>
      <c r="R45" s="246">
        <f>R41+R44</f>
        <v>12</v>
      </c>
      <c r="S45" s="185">
        <f>R45/'Anlage 1a'!R45*100</f>
        <v>1.3071895424836601</v>
      </c>
      <c r="T45" s="246">
        <f>T41+T44</f>
        <v>12</v>
      </c>
      <c r="U45" s="185">
        <f>T45/'Anlage 1a'!T45*100</f>
        <v>1.2244897959183674</v>
      </c>
      <c r="V45" s="246">
        <f>V41+V44</f>
        <v>17</v>
      </c>
      <c r="W45" s="185">
        <f>V45/'Anlage 1a'!V45*100</f>
        <v>1.7085427135678393</v>
      </c>
      <c r="X45" s="246">
        <f>X41+X44</f>
        <v>8</v>
      </c>
      <c r="Y45" s="185">
        <f>X45/'Anlage 1a'!X45*100</f>
        <v>1.5841584158415842</v>
      </c>
      <c r="Z45" s="247">
        <f>SUM(Z41,Z44)</f>
        <v>61</v>
      </c>
      <c r="AA45" s="188">
        <f>Z45/'Anlage 1a'!Z45*100</f>
        <v>1.1515952425901455</v>
      </c>
      <c r="AB45" s="191">
        <f>SUM(AB25,AB41)</f>
        <v>7</v>
      </c>
      <c r="AC45" s="185">
        <f>AB45/'Anlage 1a'!AB45*100</f>
        <v>1.0574018126888218</v>
      </c>
      <c r="AD45" s="191">
        <f>SUM(AD25,AD41)</f>
        <v>7</v>
      </c>
      <c r="AE45" s="185">
        <f>AD45/'Anlage 1a'!AD45*100</f>
        <v>1.1075949367088607</v>
      </c>
      <c r="AF45" s="191">
        <f>SUM(AF25,AF41)</f>
        <v>1</v>
      </c>
      <c r="AG45" s="185">
        <f>AF45/'Anlage 1a'!AF45*100</f>
        <v>0.17699115044247787</v>
      </c>
      <c r="AH45" s="191">
        <f>SUM(AH25,AH41)</f>
        <v>16</v>
      </c>
      <c r="AI45" s="188">
        <f>AH45/'Anlage 1a'!AH45*100</f>
        <v>0.86067778375470672</v>
      </c>
      <c r="AJ45" s="246">
        <f>SUM(AJ26,AJ41,AJ44)</f>
        <v>147</v>
      </c>
      <c r="AK45" s="188">
        <f>AJ45/'Anlage 1a'!AJ45*100</f>
        <v>1.3748597081930416</v>
      </c>
    </row>
    <row r="46" spans="1:37" ht="20.100000000000001" customHeight="1" x14ac:dyDescent="0.25"/>
    <row r="47" spans="1:37" x14ac:dyDescent="0.25">
      <c r="A47" s="123" t="s">
        <v>299</v>
      </c>
      <c r="B47" s="123"/>
      <c r="C47" s="123"/>
      <c r="D47" s="123"/>
      <c r="E47" s="248"/>
      <c r="F47" s="123"/>
      <c r="G47" s="248"/>
      <c r="H47" s="123"/>
      <c r="I47" s="248"/>
      <c r="J47" s="123"/>
      <c r="K47" s="248"/>
      <c r="L47" s="123"/>
      <c r="M47" s="248"/>
      <c r="N47" s="123"/>
      <c r="O47" s="248"/>
      <c r="P47" s="123"/>
      <c r="Q47" s="248"/>
      <c r="R47" s="123"/>
      <c r="S47" s="248"/>
      <c r="T47" s="123"/>
      <c r="U47" s="248"/>
      <c r="V47" s="123"/>
      <c r="W47" s="248"/>
      <c r="X47" s="123"/>
      <c r="Y47" s="248"/>
      <c r="Z47" s="123"/>
      <c r="AA47" s="248"/>
      <c r="AB47" s="123"/>
      <c r="AC47" s="248"/>
      <c r="AD47" s="123"/>
      <c r="AE47" s="248"/>
      <c r="AF47" s="123"/>
      <c r="AG47" s="248"/>
      <c r="AH47" s="123"/>
      <c r="AI47" s="248"/>
      <c r="AJ47" s="123"/>
      <c r="AK47" s="248"/>
    </row>
    <row r="48" spans="1:37" s="123" customFormat="1" x14ac:dyDescent="0.25">
      <c r="A48" s="3"/>
      <c r="B48" s="3"/>
      <c r="C48" s="3"/>
      <c r="D48" s="3"/>
      <c r="E48" s="131"/>
      <c r="F48" s="3"/>
      <c r="G48" s="131"/>
      <c r="H48" s="3"/>
      <c r="I48" s="131"/>
      <c r="J48" s="3"/>
      <c r="K48" s="131"/>
      <c r="L48" s="3"/>
      <c r="M48" s="131"/>
      <c r="N48" s="3"/>
      <c r="O48" s="131"/>
      <c r="P48" s="3"/>
      <c r="Q48" s="131"/>
      <c r="R48" s="3"/>
      <c r="S48" s="131"/>
      <c r="T48" s="3"/>
      <c r="U48" s="131"/>
      <c r="V48" s="3"/>
      <c r="W48" s="131"/>
      <c r="X48" s="3"/>
      <c r="Y48" s="131"/>
      <c r="Z48" s="3"/>
      <c r="AA48" s="131"/>
      <c r="AB48" s="3"/>
      <c r="AC48" s="131"/>
      <c r="AD48" s="3"/>
      <c r="AE48" s="131"/>
      <c r="AF48" s="3"/>
      <c r="AG48" s="131"/>
      <c r="AH48" s="3"/>
      <c r="AI48" s="131"/>
      <c r="AJ48" s="3"/>
      <c r="AK48" s="131"/>
    </row>
    <row r="49" spans="1:8" x14ac:dyDescent="0.25">
      <c r="A49" s="261" t="s">
        <v>204</v>
      </c>
      <c r="B49" s="261"/>
      <c r="C49" s="261"/>
      <c r="H49" s="121"/>
    </row>
  </sheetData>
  <customSheetViews>
    <customSheetView guid="{0224233B-564D-4BBC-A6B2-E639E6D2CFB3}" showPageBreaks="1" fitToPage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scale="61" orientation="landscape" horizontalDpi="300" verticalDpi="300" r:id="rId1"/>
      <headerFooter alignWithMargins="0">
        <oddHeader>&amp;LFachbereich 9&amp;C&amp;A&amp;ROktober  2009</oddHeader>
        <oddFooter>Seite &amp;P&amp;R&amp;Z&amp;F</oddFooter>
      </headerFooter>
    </customSheetView>
  </customSheetViews>
  <mergeCells count="1">
    <mergeCell ref="B3:C3"/>
  </mergeCells>
  <phoneticPr fontId="2" type="noConversion"/>
  <hyperlinks>
    <hyperlink ref="A49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64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0"/>
  <sheetViews>
    <sheetView tabSelected="1" view="pageLayout" topLeftCell="A5" zoomScale="70" zoomScaleNormal="70" zoomScaleSheetLayoutView="70" zoomScalePageLayoutView="70" workbookViewId="0">
      <selection activeCell="AO18" sqref="AO18"/>
    </sheetView>
  </sheetViews>
  <sheetFormatPr baseColWidth="10" defaultRowHeight="13.5" x14ac:dyDescent="0.25"/>
  <cols>
    <col min="1" max="1" width="25.42578125" style="3" customWidth="1"/>
    <col min="2" max="2" width="3.28515625" style="3" hidden="1" customWidth="1"/>
    <col min="3" max="3" width="3" style="3" hidden="1" customWidth="1"/>
    <col min="4" max="4" width="5.7109375" style="3" customWidth="1"/>
    <col min="5" max="5" width="5.42578125" style="131" customWidth="1"/>
    <col min="6" max="6" width="5.7109375" style="3" customWidth="1"/>
    <col min="7" max="7" width="6" style="131" customWidth="1"/>
    <col min="8" max="8" width="5.7109375" style="3" customWidth="1"/>
    <col min="9" max="9" width="6" style="131" customWidth="1"/>
    <col min="10" max="10" width="6.85546875" style="3" customWidth="1"/>
    <col min="11" max="11" width="6.28515625" style="131" customWidth="1"/>
    <col min="12" max="12" width="6.85546875" style="3" customWidth="1"/>
    <col min="13" max="13" width="6.28515625" style="131" customWidth="1"/>
    <col min="14" max="14" width="6.85546875" style="3" customWidth="1"/>
    <col min="15" max="15" width="6.28515625" style="131" customWidth="1"/>
    <col min="16" max="16" width="6.85546875" style="3" customWidth="1"/>
    <col min="17" max="17" width="6.28515625" style="131" customWidth="1"/>
    <col min="18" max="18" width="5.42578125" style="3" customWidth="1"/>
    <col min="19" max="19" width="7.7109375" style="131" customWidth="1"/>
    <col min="20" max="20" width="5.42578125" style="3" customWidth="1"/>
    <col min="21" max="21" width="6.28515625" style="131" customWidth="1"/>
    <col min="22" max="22" width="6.85546875" style="3" customWidth="1"/>
    <col min="23" max="23" width="6.28515625" style="131" customWidth="1"/>
    <col min="24" max="24" width="5.42578125" style="3" customWidth="1"/>
    <col min="25" max="25" width="6.28515625" style="131" customWidth="1"/>
    <col min="26" max="26" width="6.85546875" style="3" customWidth="1"/>
    <col min="27" max="27" width="6.28515625" style="131" customWidth="1"/>
    <col min="28" max="28" width="5.42578125" style="3" customWidth="1"/>
    <col min="29" max="29" width="6.28515625" style="131" customWidth="1"/>
    <col min="30" max="30" width="5.42578125" style="3" customWidth="1"/>
    <col min="31" max="31" width="6.28515625" style="131" customWidth="1"/>
    <col min="32" max="32" width="5.42578125" style="3" customWidth="1"/>
    <col min="33" max="33" width="6.28515625" style="131" customWidth="1"/>
    <col min="34" max="34" width="6.85546875" style="3" customWidth="1"/>
    <col min="35" max="35" width="6.28515625" style="131" customWidth="1"/>
    <col min="36" max="36" width="8.140625" style="3" customWidth="1"/>
    <col min="37" max="37" width="6.28515625" style="131" customWidth="1"/>
    <col min="38" max="16384" width="11.42578125" style="3"/>
  </cols>
  <sheetData>
    <row r="1" spans="1:46" s="130" customFormat="1" ht="21.75" thickBot="1" x14ac:dyDescent="0.4">
      <c r="A1" s="124" t="s">
        <v>325</v>
      </c>
      <c r="B1" s="124"/>
      <c r="C1" s="124"/>
      <c r="D1" s="125"/>
      <c r="E1" s="126"/>
      <c r="F1" s="125"/>
      <c r="G1" s="126"/>
      <c r="H1" s="125"/>
      <c r="I1" s="126"/>
      <c r="J1" s="125"/>
      <c r="K1" s="126"/>
      <c r="L1" s="125"/>
      <c r="M1" s="126"/>
      <c r="N1" s="125"/>
      <c r="O1" s="126"/>
      <c r="P1" s="125"/>
      <c r="Q1" s="126"/>
      <c r="R1" s="125"/>
      <c r="S1" s="126"/>
      <c r="T1" s="125"/>
      <c r="U1" s="126"/>
      <c r="V1" s="125"/>
      <c r="W1" s="126"/>
      <c r="X1" s="125"/>
      <c r="Y1" s="126"/>
      <c r="Z1" s="125"/>
      <c r="AA1" s="126"/>
      <c r="AB1" s="125"/>
      <c r="AC1" s="126"/>
      <c r="AD1" s="128"/>
      <c r="AE1" s="127"/>
      <c r="AF1" s="128"/>
      <c r="AG1" s="127" t="s">
        <v>57</v>
      </c>
      <c r="AH1" s="128" t="s">
        <v>53</v>
      </c>
      <c r="AI1" s="127" t="s">
        <v>53</v>
      </c>
      <c r="AJ1" s="128" t="s">
        <v>53</v>
      </c>
      <c r="AK1" s="129" t="s">
        <v>53</v>
      </c>
    </row>
    <row r="2" spans="1:46" ht="14.25" hidden="1" thickBot="1" x14ac:dyDescent="0.3"/>
    <row r="3" spans="1:46" ht="25.5" customHeight="1" x14ac:dyDescent="0.25">
      <c r="A3" s="132"/>
      <c r="B3" s="946"/>
      <c r="C3" s="947"/>
      <c r="D3" s="135" t="s">
        <v>5</v>
      </c>
      <c r="E3" s="134"/>
      <c r="F3" s="135" t="s">
        <v>6</v>
      </c>
      <c r="G3" s="134"/>
      <c r="H3" s="135" t="s">
        <v>7</v>
      </c>
      <c r="I3" s="134"/>
      <c r="J3" s="135" t="s">
        <v>8</v>
      </c>
      <c r="K3" s="134"/>
      <c r="L3" s="136" t="s">
        <v>9</v>
      </c>
      <c r="M3" s="137"/>
      <c r="N3" s="135" t="s">
        <v>10</v>
      </c>
      <c r="O3" s="134"/>
      <c r="P3" s="135" t="s">
        <v>11</v>
      </c>
      <c r="Q3" s="134"/>
      <c r="R3" s="135" t="s">
        <v>12</v>
      </c>
      <c r="S3" s="134"/>
      <c r="T3" s="135" t="s">
        <v>13</v>
      </c>
      <c r="U3" s="134"/>
      <c r="V3" s="135" t="s">
        <v>14</v>
      </c>
      <c r="W3" s="134"/>
      <c r="X3" s="135" t="s">
        <v>15</v>
      </c>
      <c r="Y3" s="134"/>
      <c r="Z3" s="136" t="s">
        <v>60</v>
      </c>
      <c r="AA3" s="137"/>
      <c r="AB3" s="135" t="s">
        <v>16</v>
      </c>
      <c r="AC3" s="134"/>
      <c r="AD3" s="135" t="s">
        <v>17</v>
      </c>
      <c r="AE3" s="138"/>
      <c r="AF3" s="135" t="s">
        <v>18</v>
      </c>
      <c r="AG3" s="134"/>
      <c r="AH3" s="136" t="s">
        <v>61</v>
      </c>
      <c r="AI3" s="137"/>
      <c r="AJ3" s="139" t="s">
        <v>19</v>
      </c>
      <c r="AK3" s="137"/>
      <c r="AL3" s="140"/>
      <c r="AM3" s="140"/>
      <c r="AN3" s="140"/>
      <c r="AO3" s="140"/>
      <c r="AP3" s="140"/>
      <c r="AQ3" s="140"/>
      <c r="AR3" s="140"/>
      <c r="AS3" s="140"/>
      <c r="AT3" s="140"/>
    </row>
    <row r="4" spans="1:46" ht="19.5" customHeight="1" thickBot="1" x14ac:dyDescent="0.3">
      <c r="A4" s="141"/>
      <c r="B4" s="142"/>
      <c r="C4" s="143"/>
      <c r="D4" s="146" t="s">
        <v>49</v>
      </c>
      <c r="E4" s="145" t="s">
        <v>50</v>
      </c>
      <c r="F4" s="146" t="s">
        <v>49</v>
      </c>
      <c r="G4" s="145" t="s">
        <v>50</v>
      </c>
      <c r="H4" s="146" t="s">
        <v>49</v>
      </c>
      <c r="I4" s="145" t="s">
        <v>50</v>
      </c>
      <c r="J4" s="146" t="s">
        <v>49</v>
      </c>
      <c r="K4" s="145" t="s">
        <v>50</v>
      </c>
      <c r="L4" s="142" t="s">
        <v>49</v>
      </c>
      <c r="M4" s="143" t="s">
        <v>50</v>
      </c>
      <c r="N4" s="146" t="s">
        <v>49</v>
      </c>
      <c r="O4" s="145" t="s">
        <v>50</v>
      </c>
      <c r="P4" s="146" t="s">
        <v>49</v>
      </c>
      <c r="Q4" s="145" t="s">
        <v>50</v>
      </c>
      <c r="R4" s="146" t="s">
        <v>49</v>
      </c>
      <c r="S4" s="145" t="s">
        <v>50</v>
      </c>
      <c r="T4" s="146" t="s">
        <v>49</v>
      </c>
      <c r="U4" s="145" t="s">
        <v>50</v>
      </c>
      <c r="V4" s="146" t="s">
        <v>49</v>
      </c>
      <c r="W4" s="145" t="s">
        <v>50</v>
      </c>
      <c r="X4" s="146" t="s">
        <v>49</v>
      </c>
      <c r="Y4" s="145" t="s">
        <v>50</v>
      </c>
      <c r="Z4" s="142" t="s">
        <v>49</v>
      </c>
      <c r="AA4" s="143" t="s">
        <v>50</v>
      </c>
      <c r="AB4" s="146" t="s">
        <v>49</v>
      </c>
      <c r="AC4" s="145" t="s">
        <v>50</v>
      </c>
      <c r="AD4" s="146" t="s">
        <v>49</v>
      </c>
      <c r="AE4" s="145" t="s">
        <v>50</v>
      </c>
      <c r="AF4" s="146" t="s">
        <v>49</v>
      </c>
      <c r="AG4" s="145" t="s">
        <v>50</v>
      </c>
      <c r="AH4" s="142" t="s">
        <v>49</v>
      </c>
      <c r="AI4" s="143" t="s">
        <v>50</v>
      </c>
      <c r="AJ4" s="146" t="s">
        <v>49</v>
      </c>
      <c r="AK4" s="143" t="s">
        <v>50</v>
      </c>
    </row>
    <row r="5" spans="1:46" x14ac:dyDescent="0.25">
      <c r="A5" s="147" t="s">
        <v>22</v>
      </c>
      <c r="B5" s="148"/>
      <c r="C5" s="149"/>
      <c r="D5" s="157">
        <f>'Anlage 1a'!D5-'Anlage 1b'!D5</f>
        <v>46</v>
      </c>
      <c r="E5" s="151">
        <f>D5/'Anlage 1a'!D5*100</f>
        <v>85.18518518518519</v>
      </c>
      <c r="F5" s="157">
        <f>'Anlage 1a'!F5-'Anlage 1b'!F5</f>
        <v>44</v>
      </c>
      <c r="G5" s="151">
        <f>F5/'Anlage 1a'!F5*100</f>
        <v>75.862068965517238</v>
      </c>
      <c r="H5" s="157">
        <f>'Anlage 1a'!H5-'Anlage 1b'!H5</f>
        <v>43</v>
      </c>
      <c r="I5" s="151">
        <f>H5/'Anlage 1a'!H5*100</f>
        <v>82.692307692307693</v>
      </c>
      <c r="J5" s="157">
        <f>'Anlage 1a'!J5-'Anlage 1b'!J5</f>
        <v>51</v>
      </c>
      <c r="K5" s="151">
        <f>J5/'Anlage 1a'!J5*100</f>
        <v>77.272727272727266</v>
      </c>
      <c r="L5" s="152">
        <f>SUM(D5,F5,H5,J5)</f>
        <v>184</v>
      </c>
      <c r="M5" s="153">
        <f>L5/'Anlage 1a'!L5*100</f>
        <v>80</v>
      </c>
      <c r="N5" s="157"/>
      <c r="O5" s="151"/>
      <c r="P5" s="157"/>
      <c r="Q5" s="151"/>
      <c r="R5" s="157"/>
      <c r="S5" s="151"/>
      <c r="T5" s="157"/>
      <c r="U5" s="151"/>
      <c r="V5" s="157"/>
      <c r="W5" s="151"/>
      <c r="X5" s="157"/>
      <c r="Y5" s="151"/>
      <c r="Z5" s="152"/>
      <c r="AA5" s="153"/>
      <c r="AB5" s="157"/>
      <c r="AC5" s="151"/>
      <c r="AD5" s="157"/>
      <c r="AE5" s="151"/>
      <c r="AF5" s="157"/>
      <c r="AG5" s="151"/>
      <c r="AH5" s="152"/>
      <c r="AI5" s="262"/>
      <c r="AJ5" s="263">
        <f>SUM(,L5,Z5,AH5)</f>
        <v>184</v>
      </c>
      <c r="AK5" s="239">
        <f>AJ5/'Anlage 1a'!AJ5*100</f>
        <v>80</v>
      </c>
    </row>
    <row r="6" spans="1:46" x14ac:dyDescent="0.25">
      <c r="A6" s="147" t="s">
        <v>23</v>
      </c>
      <c r="B6" s="148"/>
      <c r="C6" s="149"/>
      <c r="D6" s="157">
        <f>'Anlage 1a'!D6-'Anlage 1b'!D6</f>
        <v>44</v>
      </c>
      <c r="E6" s="151">
        <f>D6/'Anlage 1a'!D6*100</f>
        <v>95.652173913043484</v>
      </c>
      <c r="F6" s="157">
        <f>'Anlage 1a'!F6-'Anlage 1b'!F6</f>
        <v>51</v>
      </c>
      <c r="G6" s="151">
        <f>F6/'Anlage 1a'!F6*100</f>
        <v>86.440677966101703</v>
      </c>
      <c r="H6" s="157">
        <f>'Anlage 1a'!H6-'Anlage 1b'!H6</f>
        <v>51</v>
      </c>
      <c r="I6" s="151">
        <f>H6/'Anlage 1a'!H6*100</f>
        <v>94.444444444444443</v>
      </c>
      <c r="J6" s="157">
        <f>'Anlage 1a'!J6-'Anlage 1b'!J6</f>
        <v>53</v>
      </c>
      <c r="K6" s="151">
        <f>J6/'Anlage 1a'!J6*100</f>
        <v>94.642857142857139</v>
      </c>
      <c r="L6" s="152">
        <f>SUM(D6,F6,H6,J6)</f>
        <v>199</v>
      </c>
      <c r="M6" s="153">
        <f>L6/'Anlage 1a'!L6*100</f>
        <v>92.558139534883722</v>
      </c>
      <c r="N6" s="157"/>
      <c r="O6" s="151"/>
      <c r="P6" s="157"/>
      <c r="Q6" s="151"/>
      <c r="R6" s="157"/>
      <c r="S6" s="151"/>
      <c r="T6" s="157"/>
      <c r="U6" s="151"/>
      <c r="V6" s="157"/>
      <c r="W6" s="151"/>
      <c r="X6" s="157"/>
      <c r="Y6" s="151"/>
      <c r="Z6" s="152"/>
      <c r="AA6" s="153"/>
      <c r="AB6" s="157"/>
      <c r="AC6" s="151"/>
      <c r="AD6" s="157"/>
      <c r="AE6" s="151"/>
      <c r="AF6" s="157"/>
      <c r="AG6" s="151"/>
      <c r="AH6" s="152"/>
      <c r="AI6" s="262"/>
      <c r="AJ6" s="152">
        <f>SUM(,L6,Z6,AH6)</f>
        <v>199</v>
      </c>
      <c r="AK6" s="153">
        <f>AJ6/'Anlage 1a'!AJ6*100</f>
        <v>92.558139534883722</v>
      </c>
    </row>
    <row r="7" spans="1:46" x14ac:dyDescent="0.25">
      <c r="A7" s="147" t="s">
        <v>24</v>
      </c>
      <c r="B7" s="148"/>
      <c r="C7" s="149"/>
      <c r="D7" s="157">
        <f>'Anlage 1a'!D7-'Anlage 1b'!D7</f>
        <v>43</v>
      </c>
      <c r="E7" s="151">
        <f>D7/'Anlage 1a'!D7*100</f>
        <v>78.181818181818187</v>
      </c>
      <c r="F7" s="157">
        <f>'Anlage 1a'!F7-'Anlage 1b'!F7</f>
        <v>43</v>
      </c>
      <c r="G7" s="151">
        <f>F7/'Anlage 1a'!F7*100</f>
        <v>74.137931034482762</v>
      </c>
      <c r="H7" s="157">
        <f>'Anlage 1a'!H7-'Anlage 1b'!H7</f>
        <v>29</v>
      </c>
      <c r="I7" s="151">
        <f>H7/'Anlage 1a'!H7*100</f>
        <v>67.441860465116278</v>
      </c>
      <c r="J7" s="157">
        <f>'Anlage 1a'!J7-'Anlage 1b'!J7</f>
        <v>48</v>
      </c>
      <c r="K7" s="151">
        <f>J7/'Anlage 1a'!J7*100</f>
        <v>77.41935483870968</v>
      </c>
      <c r="L7" s="152">
        <f>SUM(D7,F7,H7,J7)</f>
        <v>163</v>
      </c>
      <c r="M7" s="153">
        <f>L7/'Anlage 1a'!L7*100</f>
        <v>74.77064220183486</v>
      </c>
      <c r="N7" s="157"/>
      <c r="O7" s="151"/>
      <c r="P7" s="157"/>
      <c r="Q7" s="151"/>
      <c r="R7" s="157"/>
      <c r="S7" s="151"/>
      <c r="T7" s="157"/>
      <c r="U7" s="151"/>
      <c r="V7" s="157"/>
      <c r="W7" s="151"/>
      <c r="X7" s="157"/>
      <c r="Y7" s="151"/>
      <c r="Z7" s="152"/>
      <c r="AA7" s="153"/>
      <c r="AB7" s="157"/>
      <c r="AC7" s="151"/>
      <c r="AD7" s="157"/>
      <c r="AE7" s="151"/>
      <c r="AF7" s="157"/>
      <c r="AG7" s="151"/>
      <c r="AH7" s="152"/>
      <c r="AI7" s="262"/>
      <c r="AJ7" s="152">
        <f>SUM(,L7,Z7,AH7)</f>
        <v>163</v>
      </c>
      <c r="AK7" s="153">
        <f>AJ7/'Anlage 1a'!AJ7*100</f>
        <v>74.77064220183486</v>
      </c>
    </row>
    <row r="8" spans="1:46" s="123" customFormat="1" ht="14.25" thickBot="1" x14ac:dyDescent="0.3">
      <c r="A8" s="224" t="s">
        <v>291</v>
      </c>
      <c r="B8" s="148"/>
      <c r="C8" s="149"/>
      <c r="D8" s="157">
        <f>'Anlage 1a'!D8-'Anlage 1b'!D8</f>
        <v>15</v>
      </c>
      <c r="E8" s="151">
        <f>D8/'Anlage 1a'!D8*100</f>
        <v>44.117647058823529</v>
      </c>
      <c r="F8" s="157">
        <f>'Anlage 1a'!F8-'Anlage 1b'!F8</f>
        <v>14</v>
      </c>
      <c r="G8" s="151">
        <f>F8/'Anlage 1a'!F8*100</f>
        <v>48.275862068965516</v>
      </c>
      <c r="H8" s="157">
        <f>'Anlage 1a'!H8-'Anlage 1b'!H8</f>
        <v>36</v>
      </c>
      <c r="I8" s="151">
        <f>H8/'Anlage 1a'!H8*100</f>
        <v>76.59574468085107</v>
      </c>
      <c r="J8" s="157">
        <f>'Anlage 1a'!J8-'Anlage 1b'!J8</f>
        <v>30</v>
      </c>
      <c r="K8" s="151">
        <f>J8/'Anlage 1a'!J8*100</f>
        <v>62.5</v>
      </c>
      <c r="L8" s="152">
        <f>SUM(D8,F8,H8,J8)</f>
        <v>95</v>
      </c>
      <c r="M8" s="153">
        <f>L8/'Anlage 1a'!L8*100</f>
        <v>60.12658227848101</v>
      </c>
      <c r="N8" s="264"/>
      <c r="O8" s="226"/>
      <c r="P8" s="264"/>
      <c r="Q8" s="226"/>
      <c r="R8" s="264"/>
      <c r="S8" s="226"/>
      <c r="T8" s="264"/>
      <c r="U8" s="226"/>
      <c r="V8" s="264"/>
      <c r="W8" s="226"/>
      <c r="X8" s="264"/>
      <c r="Y8" s="226"/>
      <c r="Z8" s="228"/>
      <c r="AA8" s="229"/>
      <c r="AB8" s="264"/>
      <c r="AC8" s="226"/>
      <c r="AD8" s="264"/>
      <c r="AE8" s="226"/>
      <c r="AF8" s="264"/>
      <c r="AG8" s="226"/>
      <c r="AH8" s="228"/>
      <c r="AI8" s="265"/>
      <c r="AJ8" s="152">
        <f>SUM(,L8,Z8,AH8)</f>
        <v>95</v>
      </c>
      <c r="AK8" s="229">
        <f>AJ8/'Anlage 1a'!AJ8*100</f>
        <v>60.12658227848101</v>
      </c>
    </row>
    <row r="9" spans="1:46" ht="20.100000000000001" customHeight="1" thickBot="1" x14ac:dyDescent="0.3">
      <c r="A9" s="198" t="s">
        <v>25</v>
      </c>
      <c r="B9" s="159"/>
      <c r="C9" s="160"/>
      <c r="D9" s="184">
        <f>SUM(D5,D6,D7,D8)</f>
        <v>148</v>
      </c>
      <c r="E9" s="185">
        <f>D9/'Anlage 1a'!D9*100</f>
        <v>78.306878306878303</v>
      </c>
      <c r="F9" s="184">
        <f>SUM(F5,F6,F7,F8)</f>
        <v>152</v>
      </c>
      <c r="G9" s="185">
        <f>F9/'Anlage 1a'!F9*100</f>
        <v>74.509803921568633</v>
      </c>
      <c r="H9" s="184">
        <f>SUM(H5,H6,H7,H8)</f>
        <v>159</v>
      </c>
      <c r="I9" s="185">
        <f>H9/'Anlage 1a'!H9*100</f>
        <v>81.122448979591837</v>
      </c>
      <c r="J9" s="184">
        <f>SUM(J5,J6,J7,J8)</f>
        <v>182</v>
      </c>
      <c r="K9" s="185">
        <f>J9/'Anlage 1a'!J9*100</f>
        <v>78.448275862068968</v>
      </c>
      <c r="L9" s="187">
        <f>SUM(L5,L6,L7,L8)</f>
        <v>641</v>
      </c>
      <c r="M9" s="188">
        <f>L9/'Anlage 1a'!L9*100</f>
        <v>78.075517661388545</v>
      </c>
      <c r="N9" s="184"/>
      <c r="O9" s="185"/>
      <c r="P9" s="184"/>
      <c r="Q9" s="185"/>
      <c r="R9" s="184"/>
      <c r="S9" s="185"/>
      <c r="T9" s="184"/>
      <c r="U9" s="185"/>
      <c r="V9" s="184"/>
      <c r="W9" s="185"/>
      <c r="X9" s="184"/>
      <c r="Y9" s="185"/>
      <c r="Z9" s="187"/>
      <c r="AA9" s="188"/>
      <c r="AB9" s="184"/>
      <c r="AC9" s="185"/>
      <c r="AD9" s="184"/>
      <c r="AE9" s="185"/>
      <c r="AF9" s="184"/>
      <c r="AG9" s="185"/>
      <c r="AH9" s="187"/>
      <c r="AI9" s="186"/>
      <c r="AJ9" s="187">
        <f>SUM(AJ5,AJ6,AJ7,AJ8)</f>
        <v>641</v>
      </c>
      <c r="AK9" s="188">
        <f>AJ9/'Anlage 1a'!AJ9*100</f>
        <v>78.075517661388545</v>
      </c>
    </row>
    <row r="10" spans="1:46" hidden="1" x14ac:dyDescent="0.25">
      <c r="A10" s="714" t="s">
        <v>26</v>
      </c>
      <c r="B10" s="658"/>
      <c r="C10" s="659"/>
      <c r="D10" s="715"/>
      <c r="E10" s="661"/>
      <c r="F10" s="715"/>
      <c r="G10" s="716"/>
      <c r="H10" s="715"/>
      <c r="I10" s="716"/>
      <c r="J10" s="715"/>
      <c r="K10" s="716"/>
      <c r="L10" s="717"/>
      <c r="M10" s="718"/>
      <c r="N10" s="715"/>
      <c r="O10" s="716"/>
      <c r="P10" s="715"/>
      <c r="Q10" s="716"/>
      <c r="R10" s="715"/>
      <c r="S10" s="716"/>
      <c r="T10" s="715"/>
      <c r="U10" s="716"/>
      <c r="V10" s="715"/>
      <c r="W10" s="716"/>
      <c r="X10" s="715"/>
      <c r="Y10" s="716"/>
      <c r="Z10" s="717"/>
      <c r="AA10" s="718"/>
      <c r="AB10" s="715"/>
      <c r="AC10" s="716"/>
      <c r="AD10" s="715"/>
      <c r="AE10" s="716"/>
      <c r="AF10" s="715"/>
      <c r="AG10" s="716"/>
      <c r="AH10" s="717"/>
      <c r="AI10" s="682"/>
      <c r="AJ10" s="658"/>
      <c r="AK10" s="718"/>
    </row>
    <row r="11" spans="1:46" x14ac:dyDescent="0.25">
      <c r="A11" s="147" t="s">
        <v>27</v>
      </c>
      <c r="B11" s="148"/>
      <c r="C11" s="149"/>
      <c r="D11" s="157">
        <f>'Anlage 1a'!D11-'Anlage 1b'!D11</f>
        <v>53</v>
      </c>
      <c r="E11" s="151">
        <f>D11/'Anlage 1a'!D11*100</f>
        <v>77.941176470588232</v>
      </c>
      <c r="F11" s="157">
        <f>'Anlage 1a'!F11-'Anlage 1b'!F11</f>
        <v>71</v>
      </c>
      <c r="G11" s="151">
        <f>F11/'Anlage 1a'!F11*100</f>
        <v>80.681818181818173</v>
      </c>
      <c r="H11" s="157">
        <f>'Anlage 1a'!H11-'Anlage 1b'!H11</f>
        <v>51</v>
      </c>
      <c r="I11" s="151">
        <f>H11/'Anlage 1a'!H11*100</f>
        <v>76.119402985074629</v>
      </c>
      <c r="J11" s="157">
        <f>'Anlage 1a'!J11-'Anlage 1b'!J11</f>
        <v>58</v>
      </c>
      <c r="K11" s="151">
        <f>J11/'Anlage 1a'!J11*100</f>
        <v>76.31578947368422</v>
      </c>
      <c r="L11" s="152">
        <f>SUM(D11,F11,H11,J11)</f>
        <v>233</v>
      </c>
      <c r="M11" s="153">
        <f>L11/'Anlage 1a'!L11*100</f>
        <v>77.926421404682273</v>
      </c>
      <c r="N11" s="157"/>
      <c r="O11" s="151"/>
      <c r="P11" s="157"/>
      <c r="Q11" s="151"/>
      <c r="R11" s="157"/>
      <c r="S11" s="151"/>
      <c r="T11" s="157"/>
      <c r="U11" s="151"/>
      <c r="V11" s="157"/>
      <c r="W11" s="151"/>
      <c r="X11" s="157"/>
      <c r="Y11" s="151"/>
      <c r="Z11" s="152"/>
      <c r="AA11" s="153"/>
      <c r="AB11" s="157"/>
      <c r="AC11" s="151"/>
      <c r="AD11" s="157"/>
      <c r="AE11" s="151"/>
      <c r="AF11" s="157"/>
      <c r="AG11" s="151"/>
      <c r="AH11" s="152"/>
      <c r="AI11" s="262"/>
      <c r="AJ11" s="152">
        <f>SUM(,L11,Z11,AH11)</f>
        <v>233</v>
      </c>
      <c r="AK11" s="153">
        <f>AJ11/'Anlage 1a'!AJ11*100</f>
        <v>77.926421404682273</v>
      </c>
    </row>
    <row r="12" spans="1:46" x14ac:dyDescent="0.25">
      <c r="A12" s="147" t="s">
        <v>28</v>
      </c>
      <c r="B12" s="148"/>
      <c r="C12" s="149"/>
      <c r="D12" s="157">
        <f>'Anlage 1a'!D12-'Anlage 1b'!D12</f>
        <v>30</v>
      </c>
      <c r="E12" s="151">
        <f>D12/'Anlage 1a'!D12*100</f>
        <v>76.923076923076934</v>
      </c>
      <c r="F12" s="157">
        <f>'Anlage 1a'!F12-'Anlage 1b'!F12</f>
        <v>41</v>
      </c>
      <c r="G12" s="151">
        <f>F12/'Anlage 1a'!F12*100</f>
        <v>82</v>
      </c>
      <c r="H12" s="157">
        <f>'Anlage 1a'!H12-'Anlage 1b'!H12</f>
        <v>34</v>
      </c>
      <c r="I12" s="151">
        <f>H12/'Anlage 1a'!H12*100</f>
        <v>73.91304347826086</v>
      </c>
      <c r="J12" s="157">
        <f>'Anlage 1a'!J12-'Anlage 1b'!J12</f>
        <v>29</v>
      </c>
      <c r="K12" s="151">
        <f>J12/'Anlage 1a'!J12*100</f>
        <v>69.047619047619051</v>
      </c>
      <c r="L12" s="152">
        <f>SUM(D12,F12,H12,J12)</f>
        <v>134</v>
      </c>
      <c r="M12" s="153">
        <f>L12/'Anlage 1a'!L12*100</f>
        <v>75.706214689265536</v>
      </c>
      <c r="N12" s="157"/>
      <c r="O12" s="151"/>
      <c r="P12" s="157"/>
      <c r="Q12" s="151"/>
      <c r="R12" s="157"/>
      <c r="S12" s="151"/>
      <c r="T12" s="157"/>
      <c r="U12" s="151"/>
      <c r="V12" s="157"/>
      <c r="W12" s="151"/>
      <c r="X12" s="157"/>
      <c r="Y12" s="151"/>
      <c r="Z12" s="152"/>
      <c r="AA12" s="153"/>
      <c r="AB12" s="157"/>
      <c r="AC12" s="151"/>
      <c r="AD12" s="157"/>
      <c r="AE12" s="151"/>
      <c r="AF12" s="157"/>
      <c r="AG12" s="151"/>
      <c r="AH12" s="152"/>
      <c r="AI12" s="262"/>
      <c r="AJ12" s="152">
        <f>SUM(,L12,Z12,AH12)</f>
        <v>134</v>
      </c>
      <c r="AK12" s="153">
        <f>AJ12/'Anlage 1a'!AJ12*100</f>
        <v>75.706214689265536</v>
      </c>
    </row>
    <row r="13" spans="1:46" x14ac:dyDescent="0.25">
      <c r="A13" s="147" t="s">
        <v>29</v>
      </c>
      <c r="B13" s="148"/>
      <c r="C13" s="149"/>
      <c r="D13" s="157">
        <f>'Anlage 1a'!D13-'Anlage 1b'!D13</f>
        <v>53</v>
      </c>
      <c r="E13" s="151">
        <f>D13/'Anlage 1a'!D13*100</f>
        <v>75.714285714285708</v>
      </c>
      <c r="F13" s="157">
        <f>'Anlage 1a'!F13-'Anlage 1b'!F13</f>
        <v>55</v>
      </c>
      <c r="G13" s="151">
        <f>F13/'Anlage 1a'!F13*100</f>
        <v>68.75</v>
      </c>
      <c r="H13" s="157">
        <f>'Anlage 1a'!H13-'Anlage 1b'!H13</f>
        <v>65</v>
      </c>
      <c r="I13" s="151">
        <f>H13/'Anlage 1a'!H13*100</f>
        <v>79.268292682926827</v>
      </c>
      <c r="J13" s="157">
        <f>'Anlage 1a'!J13-'Anlage 1b'!J13</f>
        <v>47</v>
      </c>
      <c r="K13" s="151">
        <f>J13/'Anlage 1a'!J13*100</f>
        <v>60.256410256410255</v>
      </c>
      <c r="L13" s="152">
        <f>SUM(D13,F13,H13,J13)</f>
        <v>220</v>
      </c>
      <c r="M13" s="153">
        <f>L13/'Anlage 1a'!L13*100</f>
        <v>70.967741935483872</v>
      </c>
      <c r="N13" s="157"/>
      <c r="O13" s="151"/>
      <c r="P13" s="157"/>
      <c r="Q13" s="151"/>
      <c r="R13" s="157"/>
      <c r="S13" s="151"/>
      <c r="T13" s="157"/>
      <c r="U13" s="151"/>
      <c r="V13" s="157"/>
      <c r="W13" s="151"/>
      <c r="X13" s="157"/>
      <c r="Y13" s="151"/>
      <c r="Z13" s="152"/>
      <c r="AA13" s="153"/>
      <c r="AB13" s="157"/>
      <c r="AC13" s="151"/>
      <c r="AD13" s="157"/>
      <c r="AE13" s="151"/>
      <c r="AF13" s="157"/>
      <c r="AG13" s="151"/>
      <c r="AH13" s="152"/>
      <c r="AI13" s="262"/>
      <c r="AJ13" s="152">
        <f>SUM(,L13,Z13,AH13)</f>
        <v>220</v>
      </c>
      <c r="AK13" s="153">
        <f>AJ13/'Anlage 1a'!AJ13*100</f>
        <v>70.967741935483872</v>
      </c>
    </row>
    <row r="14" spans="1:46" x14ac:dyDescent="0.25">
      <c r="A14" s="147" t="s">
        <v>58</v>
      </c>
      <c r="B14" s="148"/>
      <c r="C14" s="149"/>
      <c r="D14" s="157">
        <f>'Anlage 1a'!D14-'Anlage 1b'!D14</f>
        <v>77</v>
      </c>
      <c r="E14" s="151">
        <f>D14/'Anlage 1a'!D14*100</f>
        <v>96.25</v>
      </c>
      <c r="F14" s="157">
        <f>'Anlage 1a'!F14-'Anlage 1b'!F14</f>
        <v>56</v>
      </c>
      <c r="G14" s="151">
        <f>F14/'Anlage 1a'!F14*100</f>
        <v>93.333333333333329</v>
      </c>
      <c r="H14" s="157">
        <f>'Anlage 1a'!H14-'Anlage 1b'!H14</f>
        <v>68</v>
      </c>
      <c r="I14" s="151">
        <f>H14/'Anlage 1a'!H14*100</f>
        <v>95.774647887323937</v>
      </c>
      <c r="J14" s="157">
        <f>'Anlage 1a'!J14-'Anlage 1b'!J14</f>
        <v>52</v>
      </c>
      <c r="K14" s="151">
        <f>J14/'Anlage 1a'!J14*100</f>
        <v>92.857142857142861</v>
      </c>
      <c r="L14" s="152">
        <f>SUM(D14,F14,H14,J14)</f>
        <v>253</v>
      </c>
      <c r="M14" s="153">
        <f>L14/'Anlage 1a'!L14*100</f>
        <v>94.756554307116104</v>
      </c>
      <c r="N14" s="157"/>
      <c r="O14" s="151"/>
      <c r="P14" s="157"/>
      <c r="Q14" s="151"/>
      <c r="R14" s="157"/>
      <c r="S14" s="151"/>
      <c r="T14" s="157"/>
      <c r="U14" s="151"/>
      <c r="V14" s="157"/>
      <c r="W14" s="151"/>
      <c r="X14" s="157"/>
      <c r="Y14" s="151"/>
      <c r="Z14" s="152"/>
      <c r="AA14" s="153"/>
      <c r="AB14" s="157"/>
      <c r="AC14" s="151"/>
      <c r="AD14" s="157"/>
      <c r="AE14" s="151"/>
      <c r="AF14" s="157"/>
      <c r="AG14" s="151"/>
      <c r="AH14" s="152"/>
      <c r="AI14" s="262"/>
      <c r="AJ14" s="152">
        <f>SUM(,L14,Z14,AH14)</f>
        <v>253</v>
      </c>
      <c r="AK14" s="153">
        <f>AJ14/'Anlage 1a'!AJ14*100</f>
        <v>94.756554307116104</v>
      </c>
    </row>
    <row r="15" spans="1:46" s="123" customFormat="1" ht="14.25" thickBot="1" x14ac:dyDescent="0.3">
      <c r="A15" s="224" t="s">
        <v>292</v>
      </c>
      <c r="B15" s="148"/>
      <c r="C15" s="149"/>
      <c r="D15" s="264">
        <f>'Anlage 1a'!D15-'Anlage 1b'!D15</f>
        <v>70</v>
      </c>
      <c r="E15" s="226">
        <f>D15/'Anlage 1a'!D15*100</f>
        <v>87.5</v>
      </c>
      <c r="F15" s="264">
        <f>'Anlage 1a'!F15-'Anlage 1b'!F15</f>
        <v>70</v>
      </c>
      <c r="G15" s="226">
        <f>F15/'Anlage 1a'!F15*100</f>
        <v>82.35294117647058</v>
      </c>
      <c r="H15" s="264">
        <f>'Anlage 1a'!H15-'Anlage 1b'!H15</f>
        <v>61</v>
      </c>
      <c r="I15" s="226">
        <f>H15/'Anlage 1a'!H15*100</f>
        <v>82.432432432432435</v>
      </c>
      <c r="J15" s="264">
        <f>'Anlage 1a'!J15-'Anlage 1b'!J15</f>
        <v>62</v>
      </c>
      <c r="K15" s="226">
        <f>J15/'Anlage 1a'!J15*100</f>
        <v>83.78378378378379</v>
      </c>
      <c r="L15" s="228">
        <f>SUM(D15,F15,H15,J15)</f>
        <v>263</v>
      </c>
      <c r="M15" s="229">
        <f>L15/'Anlage 1a'!L15*100</f>
        <v>84.025559105431313</v>
      </c>
      <c r="N15" s="264"/>
      <c r="O15" s="226"/>
      <c r="P15" s="264"/>
      <c r="Q15" s="226"/>
      <c r="R15" s="264"/>
      <c r="S15" s="226"/>
      <c r="T15" s="264"/>
      <c r="U15" s="226"/>
      <c r="V15" s="264"/>
      <c r="W15" s="226"/>
      <c r="X15" s="264"/>
      <c r="Y15" s="226"/>
      <c r="Z15" s="228"/>
      <c r="AA15" s="229"/>
      <c r="AB15" s="264"/>
      <c r="AC15" s="226"/>
      <c r="AD15" s="264"/>
      <c r="AE15" s="226"/>
      <c r="AF15" s="264"/>
      <c r="AG15" s="226"/>
      <c r="AH15" s="228"/>
      <c r="AI15" s="265"/>
      <c r="AJ15" s="152">
        <f>SUM(,L15,Z15,AH15)</f>
        <v>263</v>
      </c>
      <c r="AK15" s="229">
        <f>AJ15/'Anlage 1a'!AJ15*100</f>
        <v>84.025559105431313</v>
      </c>
    </row>
    <row r="16" spans="1:46" ht="20.100000000000001" customHeight="1" thickBot="1" x14ac:dyDescent="0.3">
      <c r="A16" s="198" t="s">
        <v>30</v>
      </c>
      <c r="B16" s="159"/>
      <c r="C16" s="160"/>
      <c r="D16" s="184">
        <f>SUM(D10,D11:D15)</f>
        <v>283</v>
      </c>
      <c r="E16" s="185">
        <f>D16/'Anlage 1a'!D16*100</f>
        <v>83.976261127596445</v>
      </c>
      <c r="F16" s="184">
        <f>SUM(F10,F11:F15)</f>
        <v>293</v>
      </c>
      <c r="G16" s="185">
        <f>F16/'Anlage 1a'!F16*100</f>
        <v>80.71625344352617</v>
      </c>
      <c r="H16" s="184">
        <f>SUM(H10,H11:H15)</f>
        <v>279</v>
      </c>
      <c r="I16" s="185">
        <f>H16/'Anlage 1a'!H16*100</f>
        <v>82.058823529411768</v>
      </c>
      <c r="J16" s="184">
        <f>SUM(J10,J11:J15)</f>
        <v>248</v>
      </c>
      <c r="K16" s="185">
        <f>J16/'Anlage 1a'!J16*100</f>
        <v>76.073619631901849</v>
      </c>
      <c r="L16" s="187">
        <f>SUM(L10,L11:L15)</f>
        <v>1103</v>
      </c>
      <c r="M16" s="188">
        <f>L16/'Anlage 1a'!L16*100</f>
        <v>80.746705710102489</v>
      </c>
      <c r="N16" s="184"/>
      <c r="O16" s="185"/>
      <c r="P16" s="184"/>
      <c r="Q16" s="185"/>
      <c r="R16" s="184"/>
      <c r="S16" s="185"/>
      <c r="T16" s="184"/>
      <c r="U16" s="185"/>
      <c r="V16" s="184"/>
      <c r="W16" s="185"/>
      <c r="X16" s="184"/>
      <c r="Y16" s="185"/>
      <c r="Z16" s="187"/>
      <c r="AA16" s="188"/>
      <c r="AB16" s="184"/>
      <c r="AC16" s="185"/>
      <c r="AD16" s="184"/>
      <c r="AE16" s="185"/>
      <c r="AF16" s="184"/>
      <c r="AG16" s="185"/>
      <c r="AH16" s="187"/>
      <c r="AI16" s="186"/>
      <c r="AJ16" s="187">
        <f>SUM(AJ10,AJ11:AJ15)</f>
        <v>1103</v>
      </c>
      <c r="AK16" s="188">
        <f>AJ16/'Anlage 1a'!AJ16*100</f>
        <v>80.746705710102489</v>
      </c>
    </row>
    <row r="17" spans="1:38" x14ac:dyDescent="0.25">
      <c r="A17" s="205" t="s">
        <v>317</v>
      </c>
      <c r="B17" s="148"/>
      <c r="C17" s="149"/>
      <c r="D17" s="234">
        <f>'Anlage 1a'!D17-'Anlage 1b'!D17</f>
        <v>13</v>
      </c>
      <c r="E17" s="215">
        <f>D17/'Anlage 1a'!D17*100</f>
        <v>72.222222222222214</v>
      </c>
      <c r="F17" s="234">
        <f>'Anlage 1a'!F17-'Anlage 1b'!F17</f>
        <v>20</v>
      </c>
      <c r="G17" s="215">
        <f>F17/'Anlage 1a'!F17*100</f>
        <v>90.909090909090907</v>
      </c>
      <c r="H17" s="234">
        <f>'Anlage 1a'!H17-'Anlage 1b'!H17</f>
        <v>34</v>
      </c>
      <c r="I17" s="215">
        <f>H17/'Anlage 1a'!H17*100</f>
        <v>94.444444444444443</v>
      </c>
      <c r="J17" s="234">
        <f>'Anlage 1a'!J17-'Anlage 1b'!J17</f>
        <v>11</v>
      </c>
      <c r="K17" s="215">
        <f>J17/'Anlage 1a'!J17*100</f>
        <v>64.705882352941174</v>
      </c>
      <c r="L17" s="217">
        <f>SUM(D17,F17,H17,J17)</f>
        <v>78</v>
      </c>
      <c r="M17" s="218">
        <f>L17/'Anlage 1a'!L17*100</f>
        <v>83.870967741935488</v>
      </c>
      <c r="N17" s="234"/>
      <c r="O17" s="215"/>
      <c r="P17" s="234"/>
      <c r="Q17" s="215"/>
      <c r="R17" s="234"/>
      <c r="S17" s="215"/>
      <c r="T17" s="234"/>
      <c r="U17" s="215"/>
      <c r="V17" s="234"/>
      <c r="W17" s="215"/>
      <c r="X17" s="234"/>
      <c r="Y17" s="215"/>
      <c r="Z17" s="217"/>
      <c r="AA17" s="218"/>
      <c r="AB17" s="234"/>
      <c r="AC17" s="215"/>
      <c r="AD17" s="234"/>
      <c r="AE17" s="215"/>
      <c r="AF17" s="234"/>
      <c r="AG17" s="215"/>
      <c r="AH17" s="217"/>
      <c r="AI17" s="237"/>
      <c r="AJ17" s="152">
        <f>SUM(,L17,Z17,AH17)</f>
        <v>78</v>
      </c>
      <c r="AK17" s="218">
        <f>AJ17/'Anlage 1a'!AJ17*100</f>
        <v>83.870967741935488</v>
      </c>
    </row>
    <row r="18" spans="1:38" x14ac:dyDescent="0.25">
      <c r="A18" s="147" t="s">
        <v>316</v>
      </c>
      <c r="B18" s="148"/>
      <c r="C18" s="149"/>
      <c r="D18" s="157">
        <f>'Anlage 1a'!D18-'Anlage 1b'!D18</f>
        <v>32</v>
      </c>
      <c r="E18" s="151">
        <f>D18/'Anlage 1a'!D18*100</f>
        <v>88.888888888888886</v>
      </c>
      <c r="F18" s="157">
        <f>'Anlage 1a'!F18-'Anlage 1b'!F18</f>
        <v>39</v>
      </c>
      <c r="G18" s="151">
        <f>F18/'Anlage 1a'!F18*100</f>
        <v>88.63636363636364</v>
      </c>
      <c r="H18" s="157">
        <f>'Anlage 1a'!H18-'Anlage 1b'!H18</f>
        <v>38</v>
      </c>
      <c r="I18" s="151">
        <f>H18/'Anlage 1a'!H18*100</f>
        <v>82.608695652173907</v>
      </c>
      <c r="J18" s="157">
        <f>'Anlage 1a'!J18-'Anlage 1b'!J18</f>
        <v>38</v>
      </c>
      <c r="K18" s="151">
        <f>J18/'Anlage 1a'!J18*100</f>
        <v>95</v>
      </c>
      <c r="L18" s="152">
        <f>SUM(D18,F18,H18,J18)</f>
        <v>147</v>
      </c>
      <c r="M18" s="153">
        <f>L18/'Anlage 1a'!L18*100</f>
        <v>88.554216867469876</v>
      </c>
      <c r="N18" s="157"/>
      <c r="O18" s="151"/>
      <c r="P18" s="157"/>
      <c r="Q18" s="151"/>
      <c r="R18" s="157"/>
      <c r="S18" s="151"/>
      <c r="T18" s="157"/>
      <c r="U18" s="151"/>
      <c r="V18" s="157"/>
      <c r="W18" s="151"/>
      <c r="X18" s="157"/>
      <c r="Y18" s="151"/>
      <c r="Z18" s="152"/>
      <c r="AA18" s="153"/>
      <c r="AB18" s="157"/>
      <c r="AC18" s="151"/>
      <c r="AD18" s="157"/>
      <c r="AE18" s="151"/>
      <c r="AF18" s="157"/>
      <c r="AG18" s="151"/>
      <c r="AH18" s="152"/>
      <c r="AI18" s="262"/>
      <c r="AJ18" s="152">
        <f>SUM(,L18,Z18,AH18)</f>
        <v>147</v>
      </c>
      <c r="AK18" s="153">
        <f>AJ18/'Anlage 1a'!AJ18*100</f>
        <v>88.554216867469876</v>
      </c>
    </row>
    <row r="19" spans="1:38" x14ac:dyDescent="0.25">
      <c r="A19" s="147" t="s">
        <v>289</v>
      </c>
      <c r="B19" s="148"/>
      <c r="C19" s="149"/>
      <c r="D19" s="157">
        <f>'Anlage 1a'!D19-'Anlage 1b'!D19</f>
        <v>41</v>
      </c>
      <c r="E19" s="151">
        <f>D19/'Anlage 1a'!D19*100</f>
        <v>87.2340425531915</v>
      </c>
      <c r="F19" s="157">
        <f>'Anlage 1a'!F19-'Anlage 1b'!F19</f>
        <v>51</v>
      </c>
      <c r="G19" s="151">
        <f>F19/'Anlage 1a'!F19*100</f>
        <v>91.071428571428569</v>
      </c>
      <c r="H19" s="157">
        <f>'Anlage 1a'!H19-'Anlage 1b'!H19</f>
        <v>39</v>
      </c>
      <c r="I19" s="151">
        <f>H19/'Anlage 1a'!H19*100</f>
        <v>86.666666666666671</v>
      </c>
      <c r="J19" s="157">
        <f>'Anlage 1a'!J19-'Anlage 1b'!J19</f>
        <v>36</v>
      </c>
      <c r="K19" s="151">
        <f>J19/'Anlage 1a'!J19*100</f>
        <v>78.260869565217391</v>
      </c>
      <c r="L19" s="152">
        <f>SUM(D19,F19,H19,J19)</f>
        <v>167</v>
      </c>
      <c r="M19" s="153">
        <f>L19/'Anlage 1a'!L19*100</f>
        <v>86.082474226804123</v>
      </c>
      <c r="N19" s="157"/>
      <c r="O19" s="151"/>
      <c r="P19" s="157"/>
      <c r="Q19" s="151"/>
      <c r="R19" s="157"/>
      <c r="S19" s="151"/>
      <c r="T19" s="157"/>
      <c r="U19" s="151"/>
      <c r="V19" s="157"/>
      <c r="W19" s="151"/>
      <c r="X19" s="157"/>
      <c r="Y19" s="151"/>
      <c r="Z19" s="152"/>
      <c r="AA19" s="153"/>
      <c r="AB19" s="157"/>
      <c r="AC19" s="151"/>
      <c r="AD19" s="157"/>
      <c r="AE19" s="151"/>
      <c r="AF19" s="157"/>
      <c r="AG19" s="151"/>
      <c r="AH19" s="152"/>
      <c r="AI19" s="262"/>
      <c r="AJ19" s="152">
        <f>SUM(,L19,Z19,AH19)</f>
        <v>167</v>
      </c>
      <c r="AK19" s="153">
        <f>AJ19/'Anlage 1a'!AJ19*100</f>
        <v>86.082474226804123</v>
      </c>
    </row>
    <row r="20" spans="1:38" x14ac:dyDescent="0.25">
      <c r="A20" s="147" t="s">
        <v>290</v>
      </c>
      <c r="B20" s="148"/>
      <c r="C20" s="149"/>
      <c r="D20" s="157">
        <f>'Anlage 1a'!D20-'Anlage 1b'!D20</f>
        <v>23</v>
      </c>
      <c r="E20" s="151">
        <f>D20/'Anlage 1a'!D20*100</f>
        <v>92</v>
      </c>
      <c r="F20" s="157">
        <f>'Anlage 1a'!F20-'Anlage 1b'!F20</f>
        <v>21</v>
      </c>
      <c r="G20" s="151">
        <f>F20/'Anlage 1a'!F20*100</f>
        <v>87.5</v>
      </c>
      <c r="H20" s="157">
        <f>'Anlage 1a'!H20-'Anlage 1b'!H20</f>
        <v>20</v>
      </c>
      <c r="I20" s="151">
        <f>H20/'Anlage 1a'!H20*100</f>
        <v>83.333333333333343</v>
      </c>
      <c r="J20" s="157">
        <f>'Anlage 1a'!J20-'Anlage 1b'!J20</f>
        <v>24</v>
      </c>
      <c r="K20" s="151">
        <f>J20/'Anlage 1a'!J20*100</f>
        <v>96</v>
      </c>
      <c r="L20" s="152">
        <f>SUM(D20,F20,H20,J20)</f>
        <v>88</v>
      </c>
      <c r="M20" s="153">
        <f>L20/'Anlage 1a'!L20*100</f>
        <v>89.795918367346943</v>
      </c>
      <c r="N20" s="157"/>
      <c r="O20" s="151"/>
      <c r="P20" s="157"/>
      <c r="Q20" s="151"/>
      <c r="R20" s="157"/>
      <c r="S20" s="151"/>
      <c r="T20" s="157"/>
      <c r="U20" s="151"/>
      <c r="V20" s="157"/>
      <c r="W20" s="151"/>
      <c r="X20" s="157"/>
      <c r="Y20" s="151"/>
      <c r="Z20" s="152"/>
      <c r="AA20" s="153"/>
      <c r="AB20" s="157"/>
      <c r="AC20" s="151"/>
      <c r="AD20" s="157"/>
      <c r="AE20" s="151"/>
      <c r="AF20" s="157"/>
      <c r="AG20" s="151"/>
      <c r="AH20" s="152"/>
      <c r="AI20" s="262"/>
      <c r="AJ20" s="152">
        <f>SUM(,L20,Z20,AH20)</f>
        <v>88</v>
      </c>
      <c r="AK20" s="153">
        <f>AJ20/'Anlage 1a'!AJ20*100</f>
        <v>89.795918367346943</v>
      </c>
    </row>
    <row r="21" spans="1:38" s="123" customFormat="1" ht="14.25" thickBot="1" x14ac:dyDescent="0.3">
      <c r="A21" s="224" t="s">
        <v>51</v>
      </c>
      <c r="B21" s="148"/>
      <c r="C21" s="149"/>
      <c r="D21" s="264">
        <f>'Anlage 1a'!D21-'Anlage 1b'!D21</f>
        <v>66</v>
      </c>
      <c r="E21" s="226">
        <f>D21/'Anlage 1a'!D21*100</f>
        <v>98.507462686567166</v>
      </c>
      <c r="F21" s="264">
        <f>'Anlage 1a'!F21-'Anlage 1b'!F21</f>
        <v>69</v>
      </c>
      <c r="G21" s="226">
        <f>F21/'Anlage 1a'!F21*100</f>
        <v>95.833333333333343</v>
      </c>
      <c r="H21" s="264">
        <f>'Anlage 1a'!H21-'Anlage 1b'!H21</f>
        <v>61</v>
      </c>
      <c r="I21" s="226">
        <f>H21/'Anlage 1a'!H21*100</f>
        <v>93.84615384615384</v>
      </c>
      <c r="J21" s="264">
        <f>'Anlage 1a'!J21-'Anlage 1b'!J21</f>
        <v>57</v>
      </c>
      <c r="K21" s="226">
        <f>J21/'Anlage 1a'!J21*100</f>
        <v>89.0625</v>
      </c>
      <c r="L21" s="228">
        <f>SUM(D21,F21,H21,J21)</f>
        <v>253</v>
      </c>
      <c r="M21" s="229">
        <f>L21/'Anlage 1a'!L21*100</f>
        <v>94.402985074626869</v>
      </c>
      <c r="N21" s="264"/>
      <c r="O21" s="226"/>
      <c r="P21" s="264"/>
      <c r="Q21" s="226"/>
      <c r="R21" s="264"/>
      <c r="S21" s="226"/>
      <c r="T21" s="264"/>
      <c r="U21" s="226"/>
      <c r="V21" s="264"/>
      <c r="W21" s="226"/>
      <c r="X21" s="264"/>
      <c r="Y21" s="226"/>
      <c r="Z21" s="228"/>
      <c r="AA21" s="229"/>
      <c r="AB21" s="264"/>
      <c r="AC21" s="226"/>
      <c r="AD21" s="264"/>
      <c r="AE21" s="226"/>
      <c r="AF21" s="264"/>
      <c r="AG21" s="226"/>
      <c r="AH21" s="228"/>
      <c r="AI21" s="265"/>
      <c r="AJ21" s="152">
        <f>SUM(,L21,Z21,AH21)</f>
        <v>253</v>
      </c>
      <c r="AK21" s="229">
        <f>AJ21/'Anlage 1a'!AJ21*100</f>
        <v>94.402985074626869</v>
      </c>
    </row>
    <row r="22" spans="1:38" ht="20.100000000000001" customHeight="1" thickBot="1" x14ac:dyDescent="0.3">
      <c r="A22" s="198" t="s">
        <v>31</v>
      </c>
      <c r="B22" s="159"/>
      <c r="C22" s="160"/>
      <c r="D22" s="184">
        <f>SUM(D17,D18:D21)</f>
        <v>175</v>
      </c>
      <c r="E22" s="185">
        <f>D22/'Anlage 1a'!D22*100</f>
        <v>90.673575129533674</v>
      </c>
      <c r="F22" s="184">
        <f>SUM(F17,F18:F21)</f>
        <v>200</v>
      </c>
      <c r="G22" s="185">
        <f>F22/'Anlage 1a'!F22*100</f>
        <v>91.743119266055047</v>
      </c>
      <c r="H22" s="184">
        <f>SUM(H17,H18:H21)</f>
        <v>192</v>
      </c>
      <c r="I22" s="185">
        <f>H22/'Anlage 1a'!H22*100</f>
        <v>88.888888888888886</v>
      </c>
      <c r="J22" s="184">
        <f>SUM(J17,J18:J21)</f>
        <v>166</v>
      </c>
      <c r="K22" s="185">
        <f>J22/'Anlage 1a'!J22*100</f>
        <v>86.458333333333343</v>
      </c>
      <c r="L22" s="187">
        <f>SUM(L17,L18:L21)</f>
        <v>733</v>
      </c>
      <c r="M22" s="188">
        <f>L22/'Anlage 1a'!L22*100</f>
        <v>89.499389499389508</v>
      </c>
      <c r="N22" s="184"/>
      <c r="O22" s="185"/>
      <c r="P22" s="184"/>
      <c r="Q22" s="185"/>
      <c r="R22" s="184"/>
      <c r="S22" s="185"/>
      <c r="T22" s="184"/>
      <c r="U22" s="185"/>
      <c r="V22" s="184"/>
      <c r="W22" s="185"/>
      <c r="X22" s="184"/>
      <c r="Y22" s="185"/>
      <c r="Z22" s="187"/>
      <c r="AA22" s="188"/>
      <c r="AB22" s="184"/>
      <c r="AC22" s="185"/>
      <c r="AD22" s="184"/>
      <c r="AE22" s="185"/>
      <c r="AF22" s="184"/>
      <c r="AG22" s="185"/>
      <c r="AH22" s="187"/>
      <c r="AI22" s="186"/>
      <c r="AJ22" s="187">
        <f>SUM(AJ17,AJ18:AJ21)</f>
        <v>733</v>
      </c>
      <c r="AK22" s="188">
        <f>AJ22/'Anlage 1a'!AJ22*100</f>
        <v>89.499389499389508</v>
      </c>
    </row>
    <row r="23" spans="1:38" x14ac:dyDescent="0.25">
      <c r="A23" s="205" t="s">
        <v>32</v>
      </c>
      <c r="B23" s="148"/>
      <c r="C23" s="149"/>
      <c r="D23" s="234">
        <f>'Anlage 1a'!D23-'Anlage 1b'!D23</f>
        <v>82</v>
      </c>
      <c r="E23" s="215">
        <f>D23/'Anlage 1a'!D23*100</f>
        <v>97.61904761904762</v>
      </c>
      <c r="F23" s="234">
        <f>'Anlage 1a'!F23-'Anlage 1b'!F23</f>
        <v>87</v>
      </c>
      <c r="G23" s="215">
        <f>F23/'Anlage 1a'!F23*100</f>
        <v>91.578947368421055</v>
      </c>
      <c r="H23" s="234">
        <f>'Anlage 1a'!H23-'Anlage 1b'!H23</f>
        <v>74</v>
      </c>
      <c r="I23" s="215">
        <f>H23/'Anlage 1a'!H23*100</f>
        <v>94.871794871794862</v>
      </c>
      <c r="J23" s="234">
        <f>'Anlage 1a'!J23-'Anlage 1b'!J23</f>
        <v>78</v>
      </c>
      <c r="K23" s="215">
        <f>J23/'Anlage 1a'!J23*100</f>
        <v>95.121951219512198</v>
      </c>
      <c r="L23" s="217">
        <f>SUM(D23,F23,H23,J23)</f>
        <v>321</v>
      </c>
      <c r="M23" s="218">
        <f>L23/'Anlage 1a'!L23*100</f>
        <v>94.690265486725664</v>
      </c>
      <c r="N23" s="234"/>
      <c r="O23" s="215"/>
      <c r="P23" s="234"/>
      <c r="Q23" s="215"/>
      <c r="R23" s="234"/>
      <c r="S23" s="215"/>
      <c r="T23" s="234"/>
      <c r="U23" s="215"/>
      <c r="V23" s="234"/>
      <c r="W23" s="215"/>
      <c r="X23" s="234"/>
      <c r="Y23" s="215"/>
      <c r="Z23" s="217"/>
      <c r="AA23" s="218"/>
      <c r="AB23" s="234"/>
      <c r="AC23" s="215"/>
      <c r="AD23" s="234"/>
      <c r="AE23" s="215"/>
      <c r="AF23" s="234"/>
      <c r="AG23" s="215"/>
      <c r="AH23" s="217"/>
      <c r="AI23" s="237"/>
      <c r="AJ23" s="152">
        <f>SUM(,L23,Z23,AH23)</f>
        <v>321</v>
      </c>
      <c r="AK23" s="239">
        <f>AJ23/'Anlage 1a'!AJ23*100</f>
        <v>94.690265486725664</v>
      </c>
    </row>
    <row r="24" spans="1:38" s="123" customFormat="1" ht="14.25" thickBot="1" x14ac:dyDescent="0.3">
      <c r="A24" s="224" t="s">
        <v>33</v>
      </c>
      <c r="B24" s="148"/>
      <c r="C24" s="149"/>
      <c r="D24" s="264">
        <f>'Anlage 1a'!D24-'Anlage 1b'!D24</f>
        <v>37</v>
      </c>
      <c r="E24" s="226">
        <f>D24/'Anlage 1a'!D24*100</f>
        <v>100</v>
      </c>
      <c r="F24" s="264">
        <f>'Anlage 1a'!H24-'Anlage 1b'!F24</f>
        <v>49</v>
      </c>
      <c r="G24" s="226">
        <f>F24/'Anlage 1a'!H24*100</f>
        <v>94.230769230769226</v>
      </c>
      <c r="H24" s="234">
        <f>'Anlage 1a'!H24-'Anlage 1b'!H24</f>
        <v>49</v>
      </c>
      <c r="I24" s="215">
        <f>H24/'Anlage 1a'!H24*100</f>
        <v>94.230769230769226</v>
      </c>
      <c r="J24" s="234">
        <f>'Anlage 1a'!J24-'Anlage 1b'!J24</f>
        <v>46</v>
      </c>
      <c r="K24" s="215">
        <f>J24/'Anlage 1a'!J24*100</f>
        <v>92</v>
      </c>
      <c r="L24" s="228">
        <f>SUM(D24,F24,H24,J24)</f>
        <v>181</v>
      </c>
      <c r="M24" s="229">
        <f>L24/'Anlage 1a'!L24*100</f>
        <v>94.764397905759154</v>
      </c>
      <c r="N24" s="264"/>
      <c r="O24" s="226"/>
      <c r="P24" s="264"/>
      <c r="Q24" s="226"/>
      <c r="R24" s="264"/>
      <c r="S24" s="226"/>
      <c r="T24" s="264"/>
      <c r="U24" s="226"/>
      <c r="V24" s="264"/>
      <c r="W24" s="226"/>
      <c r="X24" s="264"/>
      <c r="Y24" s="226"/>
      <c r="Z24" s="228"/>
      <c r="AA24" s="229"/>
      <c r="AB24" s="264"/>
      <c r="AC24" s="226"/>
      <c r="AD24" s="264"/>
      <c r="AE24" s="226"/>
      <c r="AF24" s="264"/>
      <c r="AG24" s="226"/>
      <c r="AH24" s="228"/>
      <c r="AI24" s="265"/>
      <c r="AJ24" s="152">
        <f>SUM(,L24,Z24,AH24)</f>
        <v>181</v>
      </c>
      <c r="AK24" s="266">
        <f>AJ24/'Anlage 1a'!AJ24*100</f>
        <v>94.764397905759154</v>
      </c>
    </row>
    <row r="25" spans="1:38" s="123" customFormat="1" ht="20.100000000000001" customHeight="1" thickBot="1" x14ac:dyDescent="0.3">
      <c r="A25" s="198" t="s">
        <v>34</v>
      </c>
      <c r="B25" s="159"/>
      <c r="C25" s="160"/>
      <c r="D25" s="184">
        <f>SUM(D23,D24)</f>
        <v>119</v>
      </c>
      <c r="E25" s="184">
        <f t="shared" ref="E25:AK25" si="0">SUM(E23,E24)</f>
        <v>197.61904761904762</v>
      </c>
      <c r="F25" s="184">
        <f t="shared" si="0"/>
        <v>136</v>
      </c>
      <c r="G25" s="184">
        <f t="shared" si="0"/>
        <v>185.80971659919027</v>
      </c>
      <c r="H25" s="184">
        <f t="shared" si="0"/>
        <v>123</v>
      </c>
      <c r="I25" s="184">
        <f t="shared" si="0"/>
        <v>189.10256410256409</v>
      </c>
      <c r="J25" s="184">
        <f t="shared" si="0"/>
        <v>124</v>
      </c>
      <c r="K25" s="249">
        <f t="shared" si="0"/>
        <v>187.1219512195122</v>
      </c>
      <c r="L25" s="187">
        <f t="shared" si="0"/>
        <v>502</v>
      </c>
      <c r="M25" s="250">
        <f t="shared" si="0"/>
        <v>189.4546633924848</v>
      </c>
      <c r="N25" s="251">
        <f t="shared" si="0"/>
        <v>0</v>
      </c>
      <c r="O25" s="252">
        <f t="shared" si="0"/>
        <v>0</v>
      </c>
      <c r="P25" s="252">
        <f t="shared" si="0"/>
        <v>0</v>
      </c>
      <c r="Q25" s="252">
        <f t="shared" si="0"/>
        <v>0</v>
      </c>
      <c r="R25" s="252">
        <f t="shared" si="0"/>
        <v>0</v>
      </c>
      <c r="S25" s="252">
        <f t="shared" si="0"/>
        <v>0</v>
      </c>
      <c r="T25" s="252">
        <f t="shared" si="0"/>
        <v>0</v>
      </c>
      <c r="U25" s="252">
        <f t="shared" si="0"/>
        <v>0</v>
      </c>
      <c r="V25" s="252">
        <f t="shared" si="0"/>
        <v>0</v>
      </c>
      <c r="W25" s="252">
        <f t="shared" si="0"/>
        <v>0</v>
      </c>
      <c r="X25" s="252">
        <f t="shared" si="0"/>
        <v>0</v>
      </c>
      <c r="Y25" s="253">
        <f t="shared" si="0"/>
        <v>0</v>
      </c>
      <c r="Z25" s="178">
        <f t="shared" si="0"/>
        <v>0</v>
      </c>
      <c r="AA25" s="179">
        <f t="shared" si="0"/>
        <v>0</v>
      </c>
      <c r="AB25" s="251">
        <f t="shared" si="0"/>
        <v>0</v>
      </c>
      <c r="AC25" s="252">
        <f t="shared" si="0"/>
        <v>0</v>
      </c>
      <c r="AD25" s="252">
        <f t="shared" si="0"/>
        <v>0</v>
      </c>
      <c r="AE25" s="252">
        <f t="shared" si="0"/>
        <v>0</v>
      </c>
      <c r="AF25" s="252">
        <f t="shared" si="0"/>
        <v>0</v>
      </c>
      <c r="AG25" s="253">
        <f t="shared" si="0"/>
        <v>0</v>
      </c>
      <c r="AH25" s="178">
        <f t="shared" si="0"/>
        <v>0</v>
      </c>
      <c r="AI25" s="179">
        <f t="shared" si="0"/>
        <v>0</v>
      </c>
      <c r="AJ25" s="204">
        <f t="shared" si="0"/>
        <v>502</v>
      </c>
      <c r="AK25" s="184">
        <f t="shared" si="0"/>
        <v>189.4546633924848</v>
      </c>
      <c r="AL25" s="267"/>
    </row>
    <row r="26" spans="1:38" ht="20.100000000000001" customHeight="1" thickBot="1" x14ac:dyDescent="0.3">
      <c r="A26" s="181" t="s">
        <v>35</v>
      </c>
      <c r="B26" s="182"/>
      <c r="C26" s="183"/>
      <c r="D26" s="184">
        <f>SUM(D25,D22,D16,D9)</f>
        <v>725</v>
      </c>
      <c r="E26" s="185">
        <f>D26/'Anlage 1a'!D26*100</f>
        <v>86.30952380952381</v>
      </c>
      <c r="F26" s="184">
        <f>SUM(F25,F22,F16,F9)</f>
        <v>781</v>
      </c>
      <c r="G26" s="185">
        <f>F26/'Anlage 1a'!F26*100</f>
        <v>83.798283261802581</v>
      </c>
      <c r="H26" s="184">
        <f>SUM(H25,H22,H16,H9)</f>
        <v>753</v>
      </c>
      <c r="I26" s="185">
        <f>H26/'Anlage 1a'!H26*100</f>
        <v>85.374149659863946</v>
      </c>
      <c r="J26" s="184">
        <f>SUM(J25,J22,J16,J9)</f>
        <v>720</v>
      </c>
      <c r="K26" s="186">
        <f>J26/'Anlage 1a'!J26*100</f>
        <v>81.632653061224488</v>
      </c>
      <c r="L26" s="187">
        <f>SUM(L25,L22,L16,L9)</f>
        <v>2979</v>
      </c>
      <c r="M26" s="188">
        <f>L26/'Anlage 1a'!L26*100</f>
        <v>84.247737556561091</v>
      </c>
      <c r="N26" s="204"/>
      <c r="O26" s="185"/>
      <c r="P26" s="184"/>
      <c r="Q26" s="185"/>
      <c r="R26" s="184"/>
      <c r="S26" s="185"/>
      <c r="T26" s="184"/>
      <c r="U26" s="185"/>
      <c r="V26" s="184"/>
      <c r="W26" s="185"/>
      <c r="X26" s="184"/>
      <c r="Y26" s="186"/>
      <c r="Z26" s="187"/>
      <c r="AA26" s="188"/>
      <c r="AB26" s="204"/>
      <c r="AC26" s="185"/>
      <c r="AD26" s="184"/>
      <c r="AE26" s="185"/>
      <c r="AF26" s="184"/>
      <c r="AG26" s="185"/>
      <c r="AH26" s="187"/>
      <c r="AI26" s="186"/>
      <c r="AJ26" s="187">
        <f>SUM(AJ25,AJ22,AJ16,AJ9)</f>
        <v>2979</v>
      </c>
      <c r="AK26" s="188">
        <f>AJ26/'Anlage 1a'!AJ26*100</f>
        <v>84.247737556561091</v>
      </c>
      <c r="AL26" s="121"/>
    </row>
    <row r="27" spans="1:38" ht="14.25" thickBot="1" x14ac:dyDescent="0.3">
      <c r="A27" s="268" t="s">
        <v>36</v>
      </c>
      <c r="B27" s="269"/>
      <c r="C27" s="270"/>
      <c r="D27" s="271"/>
      <c r="E27" s="272"/>
      <c r="F27" s="273"/>
      <c r="G27" s="272"/>
      <c r="H27" s="273"/>
      <c r="I27" s="272"/>
      <c r="J27" s="273"/>
      <c r="K27" s="274"/>
      <c r="L27" s="271"/>
      <c r="M27" s="275"/>
      <c r="N27" s="276">
        <f>'Anlage 1a'!N27-'Anlage 1b'!N27</f>
        <v>34</v>
      </c>
      <c r="O27" s="272">
        <f>N27/'Anlage 1a'!N27*100</f>
        <v>65.384615384615387</v>
      </c>
      <c r="P27" s="273">
        <f>'Anlage 1a'!P27-'Anlage 1b'!P27</f>
        <v>27</v>
      </c>
      <c r="Q27" s="272">
        <f>P27/'Anlage 1a'!P27*100</f>
        <v>58.695652173913047</v>
      </c>
      <c r="R27" s="273">
        <f>'Anlage 1a'!R27-'Anlage 1b'!R27</f>
        <v>23</v>
      </c>
      <c r="S27" s="272">
        <f>R27/'Anlage 1a'!R27*100</f>
        <v>63.888888888888886</v>
      </c>
      <c r="T27" s="273">
        <f>'Anlage 1a'!T27-'Anlage 1b'!T27</f>
        <v>30</v>
      </c>
      <c r="U27" s="272">
        <f>T27/'Anlage 1a'!T27*100</f>
        <v>58.82352941176471</v>
      </c>
      <c r="V27" s="273">
        <f>'Anlage 1a'!V27-'Anlage 1b'!V27</f>
        <v>37</v>
      </c>
      <c r="W27" s="272">
        <f>V27/'Anlage 1a'!V27*100</f>
        <v>78.723404255319153</v>
      </c>
      <c r="X27" s="273">
        <f>'Anlage 1a'!X27-'Anlage 1b'!X27</f>
        <v>38</v>
      </c>
      <c r="Y27" s="274">
        <f>X27/'Anlage 1a'!X27*100</f>
        <v>80.851063829787222</v>
      </c>
      <c r="Z27" s="271">
        <f>SUM(N27,P27,R27,T27,V27,X27)</f>
        <v>189</v>
      </c>
      <c r="AA27" s="275">
        <f>Z27/'Anlage 1a'!Z27*100</f>
        <v>67.741935483870961</v>
      </c>
      <c r="AB27" s="276"/>
      <c r="AC27" s="272"/>
      <c r="AD27" s="273"/>
      <c r="AE27" s="272"/>
      <c r="AF27" s="273"/>
      <c r="AG27" s="274"/>
      <c r="AH27" s="271"/>
      <c r="AI27" s="275"/>
      <c r="AJ27" s="271">
        <f>SUM(,L27,Z27,AH27)</f>
        <v>189</v>
      </c>
      <c r="AK27" s="275">
        <f>AJ27/'Anlage 1a'!AJ27*100</f>
        <v>67.741935483870961</v>
      </c>
      <c r="AL27" s="121"/>
    </row>
    <row r="28" spans="1:38" s="123" customFormat="1" ht="20.100000000000001" customHeight="1" thickBot="1" x14ac:dyDescent="0.3">
      <c r="A28" s="277" t="s">
        <v>38</v>
      </c>
      <c r="B28" s="182"/>
      <c r="C28" s="183"/>
      <c r="D28" s="187"/>
      <c r="E28" s="185"/>
      <c r="F28" s="184"/>
      <c r="G28" s="185"/>
      <c r="H28" s="184"/>
      <c r="I28" s="185"/>
      <c r="J28" s="184"/>
      <c r="K28" s="186"/>
      <c r="L28" s="187"/>
      <c r="M28" s="188"/>
      <c r="N28" s="204">
        <f>'Anlage 1a'!N28-'Anlage 1b'!N28</f>
        <v>34</v>
      </c>
      <c r="O28" s="185">
        <f>N28/'Anlage 1a'!N28*100</f>
        <v>65.384615384615387</v>
      </c>
      <c r="P28" s="184">
        <f>'Anlage 1a'!P28-'Anlage 1b'!P28</f>
        <v>27</v>
      </c>
      <c r="Q28" s="185">
        <f>P28/'Anlage 1a'!P28*100</f>
        <v>58.695652173913047</v>
      </c>
      <c r="R28" s="184">
        <f>'Anlage 1a'!R28-'Anlage 1b'!R28</f>
        <v>23</v>
      </c>
      <c r="S28" s="185">
        <f>R28/'Anlage 1a'!R28*100</f>
        <v>63.888888888888886</v>
      </c>
      <c r="T28" s="184">
        <f>'Anlage 1a'!T28-'Anlage 1b'!T28</f>
        <v>30</v>
      </c>
      <c r="U28" s="185">
        <f>T28/'Anlage 1a'!T28*100</f>
        <v>58.82352941176471</v>
      </c>
      <c r="V28" s="184">
        <f>'Anlage 1a'!V28-'Anlage 1b'!V28</f>
        <v>37</v>
      </c>
      <c r="W28" s="185">
        <f>V28/'Anlage 1a'!V28*100</f>
        <v>78.723404255319153</v>
      </c>
      <c r="X28" s="184">
        <f>'Anlage 1a'!X28-'Anlage 1b'!X28</f>
        <v>38</v>
      </c>
      <c r="Y28" s="186">
        <f>X28/'Anlage 1a'!X28*100</f>
        <v>80.851063829787222</v>
      </c>
      <c r="Z28" s="187">
        <f t="shared" ref="Z28:Z35" si="1">SUM(N28,P28,R28,T28,V28,X28)</f>
        <v>189</v>
      </c>
      <c r="AA28" s="188">
        <f>Z28/'Anlage 1a'!Z28*100</f>
        <v>67.741935483870961</v>
      </c>
      <c r="AB28" s="204"/>
      <c r="AC28" s="185"/>
      <c r="AD28" s="184"/>
      <c r="AE28" s="185"/>
      <c r="AF28" s="184"/>
      <c r="AG28" s="186"/>
      <c r="AH28" s="187"/>
      <c r="AI28" s="188"/>
      <c r="AJ28" s="278">
        <f>SUM(,L28,Z28,AH28)</f>
        <v>189</v>
      </c>
      <c r="AK28" s="188">
        <f>AJ28/'Anlage 1a'!AJ28*100</f>
        <v>67.741935483870961</v>
      </c>
      <c r="AL28" s="267"/>
    </row>
    <row r="29" spans="1:38" s="123" customFormat="1" ht="14.25" thickBot="1" x14ac:dyDescent="0.3">
      <c r="A29" s="279" t="s">
        <v>56</v>
      </c>
      <c r="B29" s="206"/>
      <c r="C29" s="207"/>
      <c r="D29" s="280"/>
      <c r="E29" s="281"/>
      <c r="F29" s="282"/>
      <c r="G29" s="281"/>
      <c r="H29" s="282"/>
      <c r="I29" s="281"/>
      <c r="J29" s="282"/>
      <c r="K29" s="283"/>
      <c r="L29" s="171"/>
      <c r="M29" s="284"/>
      <c r="N29" s="223">
        <f>'Anlage 1a'!N29-'Anlage 1b'!N29</f>
        <v>90</v>
      </c>
      <c r="O29" s="215">
        <f>N29/'Anlage 1a'!N29*100</f>
        <v>90</v>
      </c>
      <c r="P29" s="234">
        <f>'Anlage 1a'!P29-'Anlage 1b'!P29</f>
        <v>92</v>
      </c>
      <c r="Q29" s="215">
        <f>P29/'Anlage 1a'!P29*100</f>
        <v>85.981308411214954</v>
      </c>
      <c r="R29" s="234">
        <f>'Anlage 1a'!R29-'Anlage 1b'!R29</f>
        <v>83</v>
      </c>
      <c r="S29" s="215">
        <f>R29/'Anlage 1a'!R29*100</f>
        <v>83</v>
      </c>
      <c r="T29" s="234">
        <f>'Anlage 1a'!T29-'Anlage 1b'!T29</f>
        <v>92</v>
      </c>
      <c r="U29" s="215">
        <f>T29/'Anlage 1a'!T29*100</f>
        <v>91.089108910891099</v>
      </c>
      <c r="V29" s="234">
        <f>'Anlage 1a'!V29-'Anlage 1b'!V29</f>
        <v>106</v>
      </c>
      <c r="W29" s="215">
        <f>V29/'Anlage 1a'!V29*100</f>
        <v>89.830508474576277</v>
      </c>
      <c r="X29" s="234">
        <f>'Anlage 1a'!X29-'Anlage 1b'!X29</f>
        <v>100</v>
      </c>
      <c r="Y29" s="215">
        <f>X29/'Anlage 1a'!X29*100</f>
        <v>94.339622641509436</v>
      </c>
      <c r="Z29" s="217">
        <f t="shared" si="1"/>
        <v>563</v>
      </c>
      <c r="AA29" s="218">
        <f>Z29/'Anlage 1a'!Z29*100</f>
        <v>89.082278481012651</v>
      </c>
      <c r="AB29" s="234"/>
      <c r="AC29" s="215"/>
      <c r="AD29" s="234"/>
      <c r="AE29" s="215"/>
      <c r="AF29" s="234"/>
      <c r="AG29" s="215"/>
      <c r="AH29" s="217"/>
      <c r="AI29" s="237"/>
      <c r="AJ29" s="217">
        <f>SUM(,L29,Z29,AH29)</f>
        <v>563</v>
      </c>
      <c r="AK29" s="218">
        <f>AJ29/'Anlage 1a'!AJ29*100</f>
        <v>89.082278481012651</v>
      </c>
    </row>
    <row r="30" spans="1:38" s="267" customFormat="1" ht="14.25" hidden="1" thickBot="1" x14ac:dyDescent="0.3">
      <c r="A30" s="662" t="s">
        <v>177</v>
      </c>
      <c r="B30" s="663"/>
      <c r="C30" s="664"/>
      <c r="D30" s="665"/>
      <c r="E30" s="666"/>
      <c r="F30" s="667"/>
      <c r="G30" s="666"/>
      <c r="H30" s="667"/>
      <c r="I30" s="666"/>
      <c r="J30" s="667"/>
      <c r="K30" s="668"/>
      <c r="L30" s="663"/>
      <c r="M30" s="664"/>
      <c r="N30" s="669"/>
      <c r="O30" s="716"/>
      <c r="P30" s="671"/>
      <c r="Q30" s="716"/>
      <c r="R30" s="671"/>
      <c r="S30" s="670"/>
      <c r="T30" s="671"/>
      <c r="U30" s="716"/>
      <c r="V30" s="671"/>
      <c r="W30" s="716"/>
      <c r="X30" s="671"/>
      <c r="Y30" s="716"/>
      <c r="Z30" s="672"/>
      <c r="AA30" s="673"/>
      <c r="AB30" s="671"/>
      <c r="AC30" s="670"/>
      <c r="AD30" s="671"/>
      <c r="AE30" s="670"/>
      <c r="AF30" s="671"/>
      <c r="AG30" s="670"/>
      <c r="AH30" s="672"/>
      <c r="AI30" s="674"/>
      <c r="AJ30" s="658"/>
      <c r="AK30" s="673"/>
    </row>
    <row r="31" spans="1:38" s="267" customFormat="1" ht="20.100000000000001" customHeight="1" thickBot="1" x14ac:dyDescent="0.3">
      <c r="A31" s="231" t="s">
        <v>55</v>
      </c>
      <c r="B31" s="182"/>
      <c r="C31" s="183"/>
      <c r="D31" s="204"/>
      <c r="E31" s="185"/>
      <c r="F31" s="184"/>
      <c r="G31" s="185"/>
      <c r="H31" s="184"/>
      <c r="I31" s="185"/>
      <c r="J31" s="184"/>
      <c r="K31" s="186"/>
      <c r="L31" s="187"/>
      <c r="M31" s="188"/>
      <c r="N31" s="204">
        <f>'Anlage 1a'!N31-'Anlage 1b'!N31</f>
        <v>90</v>
      </c>
      <c r="O31" s="185">
        <f>N31/'Anlage 1a'!N31*100</f>
        <v>90</v>
      </c>
      <c r="P31" s="184">
        <f>'Anlage 1a'!P31-'Anlage 1b'!P31</f>
        <v>92</v>
      </c>
      <c r="Q31" s="185">
        <f>P31/'Anlage 1a'!P31*100</f>
        <v>85.981308411214954</v>
      </c>
      <c r="R31" s="184">
        <f>'Anlage 1a'!R31-'Anlage 1b'!R31</f>
        <v>83</v>
      </c>
      <c r="S31" s="185">
        <f>R31/'Anlage 1a'!R31*100</f>
        <v>83</v>
      </c>
      <c r="T31" s="184">
        <f>'Anlage 1a'!T31-'Anlage 1b'!T31</f>
        <v>92</v>
      </c>
      <c r="U31" s="185">
        <f>T31/'Anlage 1a'!T31*100</f>
        <v>91.089108910891099</v>
      </c>
      <c r="V31" s="184">
        <f>'Anlage 1a'!V31-'Anlage 1b'!V31</f>
        <v>106</v>
      </c>
      <c r="W31" s="185">
        <f>V31/'Anlage 1a'!V31*100</f>
        <v>89.830508474576277</v>
      </c>
      <c r="X31" s="184">
        <f>'Anlage 1a'!X31-'Anlage 1b'!X31</f>
        <v>100</v>
      </c>
      <c r="Y31" s="188">
        <f>X31/'Anlage 1a'!X31*100</f>
        <v>94.339622641509436</v>
      </c>
      <c r="Z31" s="187">
        <f t="shared" si="1"/>
        <v>563</v>
      </c>
      <c r="AA31" s="188">
        <f>Z31/'Anlage 1a'!Z31*100</f>
        <v>89.082278481012651</v>
      </c>
      <c r="AB31" s="184"/>
      <c r="AC31" s="185"/>
      <c r="AD31" s="184"/>
      <c r="AE31" s="185"/>
      <c r="AF31" s="184"/>
      <c r="AG31" s="185"/>
      <c r="AH31" s="187"/>
      <c r="AI31" s="186"/>
      <c r="AJ31" s="187">
        <f>SUM(L31,Z31,AH31)</f>
        <v>563</v>
      </c>
      <c r="AK31" s="188">
        <f>AJ31/'Anlage 1a'!AJ31*100</f>
        <v>89.082278481012651</v>
      </c>
    </row>
    <row r="32" spans="1:38" x14ac:dyDescent="0.25">
      <c r="A32" s="147" t="s">
        <v>39</v>
      </c>
      <c r="B32" s="232"/>
      <c r="C32" s="233"/>
      <c r="D32" s="157"/>
      <c r="E32" s="151"/>
      <c r="F32" s="157"/>
      <c r="G32" s="151"/>
      <c r="H32" s="157"/>
      <c r="I32" s="151"/>
      <c r="J32" s="157"/>
      <c r="K32" s="151"/>
      <c r="L32" s="152"/>
      <c r="M32" s="153"/>
      <c r="N32" s="157">
        <f>'Anlage 1a'!N32-'Anlage 1b'!N32</f>
        <v>38</v>
      </c>
      <c r="O32" s="151">
        <f>N32/'Anlage 1a'!N32*100</f>
        <v>84.444444444444443</v>
      </c>
      <c r="P32" s="157">
        <f>'Anlage 1a'!P32-'Anlage 1b'!P32</f>
        <v>54</v>
      </c>
      <c r="Q32" s="151">
        <f>P32/'Anlage 1a'!P32*100</f>
        <v>85.714285714285708</v>
      </c>
      <c r="R32" s="157">
        <f>'Anlage 1a'!R32-'Anlage 1b'!R32</f>
        <v>53</v>
      </c>
      <c r="S32" s="151">
        <f>R32/'Anlage 1a'!R32*100</f>
        <v>86.885245901639337</v>
      </c>
      <c r="T32" s="157">
        <f>'Anlage 1a'!T32-'Anlage 1b'!T32</f>
        <v>56</v>
      </c>
      <c r="U32" s="151">
        <f>T32/'Anlage 1a'!T32*100</f>
        <v>80</v>
      </c>
      <c r="V32" s="157">
        <f>'Anlage 1a'!V32-'Anlage 1b'!V32</f>
        <v>58</v>
      </c>
      <c r="W32" s="151">
        <f>V32/'Anlage 1a'!V32*100</f>
        <v>87.878787878787875</v>
      </c>
      <c r="X32" s="157">
        <f>'Anlage 1a'!X32-'Anlage 1b'!X32</f>
        <v>0</v>
      </c>
      <c r="Y32" s="215" t="str">
        <f>IF(X32=0,"",X32/'Anlage 1a'!X32*100)</f>
        <v/>
      </c>
      <c r="Z32" s="152">
        <f t="shared" si="1"/>
        <v>259</v>
      </c>
      <c r="AA32" s="153">
        <f>Z32/'Anlage 1a'!Z32*100</f>
        <v>84.918032786885249</v>
      </c>
      <c r="AB32" s="157">
        <f>'Anlage 1a'!AB32-'Anlage 1b'!AB32</f>
        <v>87</v>
      </c>
      <c r="AC32" s="151">
        <f>AB32/'Anlage 1a'!AB32*100</f>
        <v>92.553191489361694</v>
      </c>
      <c r="AD32" s="157">
        <f>'Anlage 1a'!AD32-'Anlage 1b'!AD32</f>
        <v>70</v>
      </c>
      <c r="AE32" s="151">
        <f>AD32/'Anlage 1a'!AD32*100</f>
        <v>86.419753086419746</v>
      </c>
      <c r="AF32" s="157">
        <f>'Anlage 1a'!AF32-'Anlage 1b'!AF32</f>
        <v>77</v>
      </c>
      <c r="AG32" s="151">
        <f>AF32/'Anlage 1a'!AF32*100</f>
        <v>93.902439024390233</v>
      </c>
      <c r="AH32" s="152">
        <f>SUM(AB32,AD32,AF32)</f>
        <v>234</v>
      </c>
      <c r="AI32" s="262">
        <f>AH32/'Anlage 1a'!AH32*100</f>
        <v>91.050583657587552</v>
      </c>
      <c r="AJ32" s="152">
        <f>SUM(,L32,Z32,AH32)</f>
        <v>493</v>
      </c>
      <c r="AK32" s="153">
        <f>AJ32/'Anlage 1a'!AJ32*100</f>
        <v>87.72241992882563</v>
      </c>
    </row>
    <row r="33" spans="1:37" x14ac:dyDescent="0.25">
      <c r="A33" s="147" t="s">
        <v>40</v>
      </c>
      <c r="B33" s="148"/>
      <c r="C33" s="149"/>
      <c r="D33" s="157"/>
      <c r="E33" s="151"/>
      <c r="F33" s="157"/>
      <c r="G33" s="151"/>
      <c r="H33" s="157"/>
      <c r="I33" s="151"/>
      <c r="J33" s="157"/>
      <c r="K33" s="151"/>
      <c r="L33" s="152"/>
      <c r="M33" s="153"/>
      <c r="N33" s="157">
        <f>'Anlage 1a'!N33-'Anlage 1b'!N33</f>
        <v>133</v>
      </c>
      <c r="O33" s="151">
        <f>N33/'Anlage 1a'!N33*100</f>
        <v>95.683453237410077</v>
      </c>
      <c r="P33" s="157">
        <f>'Anlage 1a'!P33-'Anlage 1b'!P33</f>
        <v>146</v>
      </c>
      <c r="Q33" s="151">
        <f>P33/'Anlage 1a'!P33*100</f>
        <v>97.333333333333343</v>
      </c>
      <c r="R33" s="157">
        <f>'Anlage 1a'!R33-'Anlage 1b'!R33</f>
        <v>131</v>
      </c>
      <c r="S33" s="151">
        <f>R33/'Anlage 1a'!R33*100</f>
        <v>92.25352112676056</v>
      </c>
      <c r="T33" s="157">
        <f>'Anlage 1a'!T33-'Anlage 1b'!T33</f>
        <v>146</v>
      </c>
      <c r="U33" s="151">
        <f>T33/'Anlage 1a'!T33*100</f>
        <v>99.319727891156461</v>
      </c>
      <c r="V33" s="157">
        <f>'Anlage 1a'!V33-'Anlage 1b'!V33</f>
        <v>133</v>
      </c>
      <c r="W33" s="151">
        <f>V33/'Anlage 1a'!V33*100</f>
        <v>97.080291970802918</v>
      </c>
      <c r="X33" s="157">
        <f>'Anlage 1a'!X33-'Anlage 1b'!X33</f>
        <v>0</v>
      </c>
      <c r="Y33" s="215" t="str">
        <f>IF(X33=0,"",X33/'Anlage 1a'!X33*100)</f>
        <v/>
      </c>
      <c r="Z33" s="152">
        <f t="shared" si="1"/>
        <v>689</v>
      </c>
      <c r="AA33" s="153">
        <f>Z33/'Anlage 1a'!Z33*100</f>
        <v>96.36363636363636</v>
      </c>
      <c r="AB33" s="157">
        <f>'Anlage 1a'!AB33-'Anlage 1b'!AB33</f>
        <v>135</v>
      </c>
      <c r="AC33" s="151">
        <f>AB33/'Anlage 1a'!AB33*100</f>
        <v>97.122302158273371</v>
      </c>
      <c r="AD33" s="157">
        <f>'Anlage 1a'!AD33-'Anlage 1b'!AD33</f>
        <v>164</v>
      </c>
      <c r="AE33" s="151">
        <f>AD33/'Anlage 1a'!AD33*100</f>
        <v>98.203592814371248</v>
      </c>
      <c r="AF33" s="157">
        <f>'Anlage 1a'!AF33-'Anlage 1b'!AF33</f>
        <v>127</v>
      </c>
      <c r="AG33" s="151">
        <f>AF33/'Anlage 1a'!AF33*100</f>
        <v>98.449612403100772</v>
      </c>
      <c r="AH33" s="152">
        <f>SUM(AB33,AD33,AF33)</f>
        <v>426</v>
      </c>
      <c r="AI33" s="262">
        <f>AH33/'Anlage 1a'!AH33*100</f>
        <v>97.931034482758619</v>
      </c>
      <c r="AJ33" s="152">
        <f>SUM(,L33,Z33,AH33)</f>
        <v>1115</v>
      </c>
      <c r="AK33" s="153">
        <f>AJ33/'Anlage 1a'!AJ33*100</f>
        <v>96.956521739130437</v>
      </c>
    </row>
    <row r="34" spans="1:37" x14ac:dyDescent="0.25">
      <c r="A34" s="147" t="s">
        <v>41</v>
      </c>
      <c r="B34" s="148"/>
      <c r="C34" s="149"/>
      <c r="D34" s="157"/>
      <c r="E34" s="151"/>
      <c r="F34" s="157"/>
      <c r="G34" s="151"/>
      <c r="H34" s="157"/>
      <c r="I34" s="151"/>
      <c r="J34" s="157"/>
      <c r="K34" s="151"/>
      <c r="L34" s="152"/>
      <c r="M34" s="153"/>
      <c r="N34" s="157">
        <f>'Anlage 1a'!N34-'Anlage 1b'!N34</f>
        <v>105</v>
      </c>
      <c r="O34" s="151">
        <f>N34/'Anlage 1a'!N34*100</f>
        <v>97.222222222222214</v>
      </c>
      <c r="P34" s="157">
        <f>'Anlage 1a'!P34-'Anlage 1b'!P34</f>
        <v>132</v>
      </c>
      <c r="Q34" s="151">
        <f>P34/'Anlage 1a'!P34*100</f>
        <v>94.964028776978409</v>
      </c>
      <c r="R34" s="157">
        <f>'Anlage 1a'!R34-'Anlage 1b'!R34</f>
        <v>106</v>
      </c>
      <c r="S34" s="151">
        <f>R34/'Anlage 1a'!R34*100</f>
        <v>98.148148148148152</v>
      </c>
      <c r="T34" s="157">
        <f>'Anlage 1a'!T34-'Anlage 1b'!T34</f>
        <v>90</v>
      </c>
      <c r="U34" s="151">
        <f>T34/'Anlage 1a'!T34*100</f>
        <v>94.73684210526315</v>
      </c>
      <c r="V34" s="157">
        <f>'Anlage 1a'!V34-'Anlage 1b'!V34</f>
        <v>98</v>
      </c>
      <c r="W34" s="151">
        <f>V34/'Anlage 1a'!V34*100</f>
        <v>95.145631067961162</v>
      </c>
      <c r="X34" s="157">
        <f>'Anlage 1a'!X34-'Anlage 1b'!X34</f>
        <v>0</v>
      </c>
      <c r="Y34" s="215" t="str">
        <f>IF(X34=0,"",X34/'Anlage 1a'!X34*100)</f>
        <v/>
      </c>
      <c r="Z34" s="152">
        <f t="shared" si="1"/>
        <v>531</v>
      </c>
      <c r="AA34" s="153">
        <f>Z34/'Anlage 1a'!Z34*100</f>
        <v>96.021699819168177</v>
      </c>
      <c r="AB34" s="157">
        <f>'Anlage 1a'!AB34-'Anlage 1b'!AB34</f>
        <v>102</v>
      </c>
      <c r="AC34" s="151">
        <f>AB34/'Anlage 1a'!AB34*100</f>
        <v>96.226415094339629</v>
      </c>
      <c r="AD34" s="157">
        <f>'Anlage 1a'!AD34-'Anlage 1b'!AD34</f>
        <v>105</v>
      </c>
      <c r="AE34" s="151">
        <f>AD34/'Anlage 1a'!AD34*100</f>
        <v>99.056603773584911</v>
      </c>
      <c r="AF34" s="157">
        <f>'Anlage 1a'!AF34-'Anlage 1b'!AF34</f>
        <v>88</v>
      </c>
      <c r="AG34" s="151">
        <f>AF34/'Anlage 1a'!AF34*100</f>
        <v>98.876404494382015</v>
      </c>
      <c r="AH34" s="152">
        <f>SUM(AB34,AD34,AF34)</f>
        <v>295</v>
      </c>
      <c r="AI34" s="262">
        <f>AH34/'Anlage 1a'!AH34*100</f>
        <v>98.006644518272424</v>
      </c>
      <c r="AJ34" s="152">
        <f>SUM(,L34,Z34,AH34)</f>
        <v>826</v>
      </c>
      <c r="AK34" s="153">
        <f>AJ34/'Anlage 1a'!AJ34*100</f>
        <v>96.721311475409834</v>
      </c>
    </row>
    <row r="35" spans="1:37" ht="14.25" thickBot="1" x14ac:dyDescent="0.3">
      <c r="A35" s="147" t="s">
        <v>42</v>
      </c>
      <c r="B35" s="148"/>
      <c r="C35" s="149"/>
      <c r="D35" s="157"/>
      <c r="E35" s="151"/>
      <c r="F35" s="157"/>
      <c r="G35" s="151"/>
      <c r="H35" s="157"/>
      <c r="I35" s="151"/>
      <c r="J35" s="157"/>
      <c r="K35" s="151"/>
      <c r="L35" s="152"/>
      <c r="M35" s="153"/>
      <c r="N35" s="157">
        <f>'Anlage 1a'!N35-'Anlage 1b'!N35</f>
        <v>72</v>
      </c>
      <c r="O35" s="151">
        <f>N35/'Anlage 1a'!N35*100</f>
        <v>97.297297297297305</v>
      </c>
      <c r="P35" s="157">
        <f>'Anlage 1a'!P35-'Anlage 1b'!P35</f>
        <v>101</v>
      </c>
      <c r="Q35" s="151">
        <f>P35/'Anlage 1a'!P35*100</f>
        <v>96.19047619047619</v>
      </c>
      <c r="R35" s="157">
        <f>'Anlage 1a'!R35-'Anlage 1b'!R35</f>
        <v>100</v>
      </c>
      <c r="S35" s="151">
        <f>R35/'Anlage 1a'!R35*100</f>
        <v>95.238095238095227</v>
      </c>
      <c r="T35" s="157">
        <f>'Anlage 1a'!T35-'Anlage 1b'!T35</f>
        <v>99</v>
      </c>
      <c r="U35" s="151">
        <f>T35/'Anlage 1a'!T35*100</f>
        <v>93.396226415094347</v>
      </c>
      <c r="V35" s="157">
        <f>'Anlage 1a'!V35-'Anlage 1b'!V35</f>
        <v>104</v>
      </c>
      <c r="W35" s="151">
        <f>V35/'Anlage 1a'!V35*100</f>
        <v>95.412844036697251</v>
      </c>
      <c r="X35" s="157">
        <f>'Anlage 1a'!X35-'Anlage 1b'!X35</f>
        <v>0</v>
      </c>
      <c r="Y35" s="255" t="str">
        <f>IF(X35=0,"",X35/'Anlage 1a'!X35*100)</f>
        <v/>
      </c>
      <c r="Z35" s="152">
        <f t="shared" si="1"/>
        <v>476</v>
      </c>
      <c r="AA35" s="153">
        <f>Z35/'Anlage 1a'!Z35*100</f>
        <v>95.390781563126254</v>
      </c>
      <c r="AB35" s="157">
        <f>'Anlage 1a'!AB35-'Anlage 1b'!AB35</f>
        <v>93</v>
      </c>
      <c r="AC35" s="151">
        <f>AB35/'Anlage 1a'!AB35*100</f>
        <v>97.894736842105274</v>
      </c>
      <c r="AD35" s="157">
        <f>'Anlage 1a'!AD35-'Anlage 1b'!AD35</f>
        <v>89</v>
      </c>
      <c r="AE35" s="151">
        <f>AD35/'Anlage 1a'!AD35*100</f>
        <v>98.888888888888886</v>
      </c>
      <c r="AF35" s="157">
        <f>'Anlage 1a'!AF35-'Anlage 1b'!AF35</f>
        <v>76</v>
      </c>
      <c r="AG35" s="151">
        <f>AF35/'Anlage 1a'!AF35*100</f>
        <v>98.701298701298697</v>
      </c>
      <c r="AH35" s="152">
        <f>SUM(AB35,AD35,AF35)</f>
        <v>258</v>
      </c>
      <c r="AI35" s="262">
        <f>AH35/'Anlage 1a'!AH35*100</f>
        <v>98.473282442748086</v>
      </c>
      <c r="AJ35" s="152">
        <f>SUM(,L35,Z35,AH35)</f>
        <v>734</v>
      </c>
      <c r="AK35" s="153">
        <f>AJ35/'Anlage 1a'!AJ35*100</f>
        <v>96.452036793692514</v>
      </c>
    </row>
    <row r="36" spans="1:37" s="123" customFormat="1" ht="20.100000000000001" customHeight="1" thickBot="1" x14ac:dyDescent="0.3">
      <c r="A36" s="198" t="s">
        <v>43</v>
      </c>
      <c r="B36" s="182"/>
      <c r="C36" s="183"/>
      <c r="D36" s="184"/>
      <c r="E36" s="185"/>
      <c r="F36" s="184"/>
      <c r="G36" s="185"/>
      <c r="H36" s="184"/>
      <c r="I36" s="185"/>
      <c r="J36" s="184"/>
      <c r="K36" s="185"/>
      <c r="L36" s="187"/>
      <c r="M36" s="188"/>
      <c r="N36" s="184">
        <f>SUM(N32:N35)</f>
        <v>348</v>
      </c>
      <c r="O36" s="185">
        <f>N36/'Anlage 1a'!N36*100</f>
        <v>95.081967213114751</v>
      </c>
      <c r="P36" s="184">
        <f>SUM(P32:P35)</f>
        <v>433</v>
      </c>
      <c r="Q36" s="185">
        <f>P36/'Anlage 1a'!P36*100</f>
        <v>94.748358862144428</v>
      </c>
      <c r="R36" s="184">
        <f>SUM(R32:R35)</f>
        <v>390</v>
      </c>
      <c r="S36" s="185">
        <f>R36/'Anlage 1a'!R36*100</f>
        <v>93.75</v>
      </c>
      <c r="T36" s="184">
        <f>SUM(T32:T35)</f>
        <v>391</v>
      </c>
      <c r="U36" s="185">
        <f>T36/'Anlage 1a'!T36*100</f>
        <v>93.540669856459331</v>
      </c>
      <c r="V36" s="184">
        <f>SUM(V32:V35)</f>
        <v>393</v>
      </c>
      <c r="W36" s="185">
        <f>V36/'Anlage 1a'!V36*100</f>
        <v>94.698795180722897</v>
      </c>
      <c r="X36" s="184">
        <f>SUM(X32:X35)</f>
        <v>0</v>
      </c>
      <c r="Y36" s="188">
        <f>IF(X36=0,0,X36/'Anlage 1a'!X36*100)</f>
        <v>0</v>
      </c>
      <c r="Z36" s="187">
        <f>SUM(Z32:Z35)</f>
        <v>1955</v>
      </c>
      <c r="AA36" s="188">
        <f>Z36/'Anlage 1a'!Z36*100</f>
        <v>94.353281853281857</v>
      </c>
      <c r="AB36" s="184">
        <f>SUM(AB32:AB35)</f>
        <v>417</v>
      </c>
      <c r="AC36" s="185">
        <f>AB36/'Anlage 1a'!AB36*100</f>
        <v>96.082949308755758</v>
      </c>
      <c r="AD36" s="184">
        <f>SUM(AD32:AD35)</f>
        <v>428</v>
      </c>
      <c r="AE36" s="185">
        <f>AD36/'Anlage 1a'!AD36*100</f>
        <v>96.396396396396398</v>
      </c>
      <c r="AF36" s="184">
        <f>SUM(AF32:AF35)</f>
        <v>368</v>
      </c>
      <c r="AG36" s="185">
        <f>AF36/'Anlage 1a'!AF36*100</f>
        <v>97.612732095490713</v>
      </c>
      <c r="AH36" s="187">
        <f>SUM(AH32:AH35)</f>
        <v>1213</v>
      </c>
      <c r="AI36" s="186">
        <f>AH36/'Anlage 1a'!AH36*100</f>
        <v>96.653386454183263</v>
      </c>
      <c r="AJ36" s="187">
        <f>SUM(AJ32:AJ35)</f>
        <v>3168</v>
      </c>
      <c r="AK36" s="188">
        <f>AJ36/'Anlage 1a'!AJ36*100</f>
        <v>95.220919747520298</v>
      </c>
    </row>
    <row r="37" spans="1:37" x14ac:dyDescent="0.25">
      <c r="A37" s="147" t="s">
        <v>44</v>
      </c>
      <c r="B37" s="148"/>
      <c r="C37" s="149"/>
      <c r="D37" s="157"/>
      <c r="E37" s="151"/>
      <c r="F37" s="157"/>
      <c r="G37" s="151"/>
      <c r="H37" s="157"/>
      <c r="I37" s="151"/>
      <c r="J37" s="157"/>
      <c r="K37" s="151"/>
      <c r="L37" s="152"/>
      <c r="M37" s="153"/>
      <c r="N37" s="157">
        <f>'Anlage 1a'!N37-'Anlage 1b'!N37</f>
        <v>108</v>
      </c>
      <c r="O37" s="151">
        <f>N37/'Anlage 1a'!N37*100</f>
        <v>78.832116788321173</v>
      </c>
      <c r="P37" s="157">
        <f>'Anlage 1a'!P37-'Anlage 1b'!P37</f>
        <v>129</v>
      </c>
      <c r="Q37" s="151">
        <f>P37/'Anlage 1a'!P37*100</f>
        <v>88.356164383561648</v>
      </c>
      <c r="R37" s="157">
        <f>'Anlage 1a'!R37-'Anlage 1b'!R37</f>
        <v>115</v>
      </c>
      <c r="S37" s="151">
        <f>R37/'Anlage 1a'!R37*100</f>
        <v>82.142857142857139</v>
      </c>
      <c r="T37" s="157">
        <f>'Anlage 1a'!T37-'Anlage 1b'!T37</f>
        <v>130</v>
      </c>
      <c r="U37" s="151">
        <f>T37/'Anlage 1a'!T37*100</f>
        <v>89.041095890410958</v>
      </c>
      <c r="V37" s="157">
        <f>'Anlage 1a'!V37-'Anlage 1b'!V37</f>
        <v>138</v>
      </c>
      <c r="W37" s="151">
        <f>V37/'Anlage 1a'!V37*100</f>
        <v>92.617449664429529</v>
      </c>
      <c r="X37" s="157">
        <f>'Anlage 1a'!X37-'Anlage 1b'!X37</f>
        <v>93</v>
      </c>
      <c r="Y37" s="151">
        <f>X37/'Anlage 1a'!X37*100</f>
        <v>89.423076923076934</v>
      </c>
      <c r="Z37" s="152">
        <f>SUM(N37,P37,R37,T37,V37,X37)</f>
        <v>713</v>
      </c>
      <c r="AA37" s="153">
        <f>Z37/'Anlage 1a'!Z37*100</f>
        <v>86.739659367396598</v>
      </c>
      <c r="AB37" s="157">
        <f>'Anlage 1a'!AB37-'Anlage 1b'!AB37</f>
        <v>72</v>
      </c>
      <c r="AC37" s="151">
        <f>AB37/'Anlage 1a'!AB37*100</f>
        <v>88.888888888888886</v>
      </c>
      <c r="AD37" s="157">
        <f>'Anlage 1a'!AD37-'Anlage 1b'!AD37</f>
        <v>35</v>
      </c>
      <c r="AE37" s="151">
        <f>AD37/'Anlage 1a'!AD37*100</f>
        <v>92.10526315789474</v>
      </c>
      <c r="AF37" s="157">
        <f>'Anlage 1a'!AF37-'Anlage 1b'!AF37</f>
        <v>54</v>
      </c>
      <c r="AG37" s="151">
        <f>AF37/'Anlage 1a'!AF37*100</f>
        <v>88.52459016393442</v>
      </c>
      <c r="AH37" s="152">
        <f>SUM(AB37,AD37,AF37)</f>
        <v>161</v>
      </c>
      <c r="AI37" s="262">
        <f>AH37/'Anlage 1a'!AH37*100</f>
        <v>89.444444444444443</v>
      </c>
      <c r="AJ37" s="152">
        <f>SUM(,L37,Z37,AH37)</f>
        <v>874</v>
      </c>
      <c r="AK37" s="153">
        <f>AJ37/'Anlage 1a'!AJ37*100</f>
        <v>87.225548902195598</v>
      </c>
    </row>
    <row r="38" spans="1:37" x14ac:dyDescent="0.25">
      <c r="A38" s="147" t="s">
        <v>52</v>
      </c>
      <c r="B38" s="148"/>
      <c r="C38" s="149"/>
      <c r="D38" s="157"/>
      <c r="E38" s="151"/>
      <c r="F38" s="157"/>
      <c r="G38" s="151"/>
      <c r="H38" s="157"/>
      <c r="I38" s="151"/>
      <c r="J38" s="157"/>
      <c r="K38" s="151"/>
      <c r="L38" s="152"/>
      <c r="M38" s="153"/>
      <c r="N38" s="157">
        <f>'Anlage 1a'!N38-'Anlage 1b'!N38</f>
        <v>127</v>
      </c>
      <c r="O38" s="151">
        <f>N38/'Anlage 1a'!N38*100</f>
        <v>92.700729927007302</v>
      </c>
      <c r="P38" s="157">
        <f>'Anlage 1a'!P38-'Anlage 1b'!P38</f>
        <v>104</v>
      </c>
      <c r="Q38" s="151">
        <f>P38/'Anlage 1a'!P38*100</f>
        <v>91.228070175438589</v>
      </c>
      <c r="R38" s="157">
        <f>'Anlage 1a'!R38-'Anlage 1b'!R38</f>
        <v>103</v>
      </c>
      <c r="S38" s="151">
        <f>R38/'Anlage 1a'!R38*100</f>
        <v>94.495412844036693</v>
      </c>
      <c r="T38" s="157">
        <f>'Anlage 1a'!T38-'Anlage 1b'!T38</f>
        <v>132</v>
      </c>
      <c r="U38" s="151">
        <f>T38/'Anlage 1a'!T38*100</f>
        <v>91.034482758620697</v>
      </c>
      <c r="V38" s="157">
        <f>'Anlage 1a'!V38-'Anlage 1b'!V38</f>
        <v>127</v>
      </c>
      <c r="W38" s="151">
        <f>V38/'Anlage 1a'!V38*100</f>
        <v>85.234899328859058</v>
      </c>
      <c r="X38" s="157">
        <f>'Anlage 1a'!X38-'Anlage 1b'!X38</f>
        <v>124</v>
      </c>
      <c r="Y38" s="151">
        <f>X38/'Anlage 1a'!X38*100</f>
        <v>96.875</v>
      </c>
      <c r="Z38" s="152">
        <f>SUM(N38,P38,R38,T38,V38,X38)</f>
        <v>717</v>
      </c>
      <c r="AA38" s="153">
        <f>Z38/'Anlage 1a'!Z38*100</f>
        <v>91.687979539641944</v>
      </c>
      <c r="AB38" s="157">
        <f>'Anlage 1a'!AB38-'Anlage 1b'!AB38</f>
        <v>52</v>
      </c>
      <c r="AC38" s="151">
        <f>AB38/'Anlage 1a'!AB38*100</f>
        <v>91.228070175438589</v>
      </c>
      <c r="AD38" s="157">
        <f>'Anlage 1a'!AD38-'Anlage 1b'!AD38</f>
        <v>58</v>
      </c>
      <c r="AE38" s="151">
        <f>AD38/'Anlage 1a'!AD38*100</f>
        <v>95.081967213114751</v>
      </c>
      <c r="AF38" s="157">
        <f>'Anlage 1a'!AF38-'Anlage 1b'!AF38</f>
        <v>48</v>
      </c>
      <c r="AG38" s="151">
        <f>AF38/'Anlage 1a'!AF38*100</f>
        <v>96</v>
      </c>
      <c r="AH38" s="152">
        <f>SUM(AB38,AD38,AF38)</f>
        <v>158</v>
      </c>
      <c r="AI38" s="262">
        <f>AH38/'Anlage 1a'!AH38*100</f>
        <v>94.047619047619051</v>
      </c>
      <c r="AJ38" s="152">
        <f>SUM(,L38,Z38,AH38)</f>
        <v>875</v>
      </c>
      <c r="AK38" s="153">
        <f>AJ38/'Anlage 1a'!AJ38*100</f>
        <v>92.10526315789474</v>
      </c>
    </row>
    <row r="39" spans="1:37" ht="14.25" thickBot="1" x14ac:dyDescent="0.3">
      <c r="A39" s="147" t="s">
        <v>45</v>
      </c>
      <c r="B39" s="148"/>
      <c r="C39" s="149"/>
      <c r="D39" s="157"/>
      <c r="E39" s="151"/>
      <c r="F39" s="157"/>
      <c r="G39" s="151"/>
      <c r="H39" s="157"/>
      <c r="I39" s="151"/>
      <c r="J39" s="157"/>
      <c r="K39" s="151"/>
      <c r="L39" s="152"/>
      <c r="M39" s="153"/>
      <c r="N39" s="157">
        <f>'Anlage 1a'!N39-'Anlage 1b'!N39</f>
        <v>107</v>
      </c>
      <c r="O39" s="151">
        <f>N39/'Anlage 1a'!N39*100</f>
        <v>91.452991452991455</v>
      </c>
      <c r="P39" s="157">
        <f>'Anlage 1a'!P39-'Anlage 1b'!P39</f>
        <v>111</v>
      </c>
      <c r="Q39" s="151">
        <f>P39/'Anlage 1a'!P39*100</f>
        <v>92.5</v>
      </c>
      <c r="R39" s="157">
        <f>'Anlage 1a'!R39-'Anlage 1b'!R39</f>
        <v>114</v>
      </c>
      <c r="S39" s="151">
        <f>R39/'Anlage 1a'!R39*100</f>
        <v>97.435897435897431</v>
      </c>
      <c r="T39" s="157">
        <f>'Anlage 1a'!T39-'Anlage 1b'!T39</f>
        <v>116</v>
      </c>
      <c r="U39" s="151">
        <f>T39/'Anlage 1a'!T39*100</f>
        <v>97.47899159663865</v>
      </c>
      <c r="V39" s="157">
        <f>'Anlage 1a'!V39-'Anlage 1b'!V39</f>
        <v>109</v>
      </c>
      <c r="W39" s="151">
        <f>V39/'Anlage 1a'!V39*100</f>
        <v>93.162393162393158</v>
      </c>
      <c r="X39" s="157">
        <f>'Anlage 1a'!X39-'Anlage 1b'!X39</f>
        <v>116</v>
      </c>
      <c r="Y39" s="151">
        <f>X39/'Anlage 1a'!X39*100</f>
        <v>96.666666666666671</v>
      </c>
      <c r="Z39" s="152">
        <f>SUM(N39,P39,R39,T39,V39,X39)</f>
        <v>673</v>
      </c>
      <c r="AA39" s="153">
        <f>Z39/'Anlage 1a'!Z39*100</f>
        <v>94.788732394366193</v>
      </c>
      <c r="AB39" s="157">
        <f>'Anlage 1a'!AB39-'Anlage 1b'!AB39</f>
        <v>86</v>
      </c>
      <c r="AC39" s="151">
        <f>AB39/'Anlage 1a'!AB39*100</f>
        <v>95.555555555555557</v>
      </c>
      <c r="AD39" s="157">
        <f>'Anlage 1a'!AD39-'Anlage 1b'!AD39</f>
        <v>86</v>
      </c>
      <c r="AE39" s="151">
        <f>AD39/'Anlage 1a'!AD39*100</f>
        <v>96.629213483146074</v>
      </c>
      <c r="AF39" s="157">
        <f>'Anlage 1a'!AF39-'Anlage 1b'!AF39</f>
        <v>76</v>
      </c>
      <c r="AG39" s="151">
        <f>AF39/'Anlage 1a'!AF39*100</f>
        <v>98.701298701298697</v>
      </c>
      <c r="AH39" s="152">
        <f>SUM(AB39,AD39,AF39)</f>
        <v>248</v>
      </c>
      <c r="AI39" s="262">
        <f>AH39/'Anlage 1a'!AH39*100</f>
        <v>96.875</v>
      </c>
      <c r="AJ39" s="152">
        <f>SUM(,L39,Z39,AH39)</f>
        <v>921</v>
      </c>
      <c r="AK39" s="153">
        <f>AJ39/'Anlage 1a'!AJ39*100</f>
        <v>95.341614906832291</v>
      </c>
    </row>
    <row r="40" spans="1:37" s="123" customFormat="1" ht="20.100000000000001" customHeight="1" thickBot="1" x14ac:dyDescent="0.3">
      <c r="A40" s="198" t="s">
        <v>46</v>
      </c>
      <c r="B40" s="182"/>
      <c r="C40" s="183"/>
      <c r="D40" s="184"/>
      <c r="E40" s="185"/>
      <c r="F40" s="184"/>
      <c r="G40" s="185"/>
      <c r="H40" s="184"/>
      <c r="I40" s="185"/>
      <c r="J40" s="184"/>
      <c r="K40" s="185"/>
      <c r="L40" s="187"/>
      <c r="M40" s="188"/>
      <c r="N40" s="184">
        <f>SUM(N37:N39)</f>
        <v>342</v>
      </c>
      <c r="O40" s="185">
        <f>N40/'Anlage 1a'!N40*100</f>
        <v>87.468030690537077</v>
      </c>
      <c r="P40" s="184">
        <f>SUM(P37:P39)</f>
        <v>344</v>
      </c>
      <c r="Q40" s="185">
        <f>P40/'Anlage 1a'!P40*100</f>
        <v>90.526315789473685</v>
      </c>
      <c r="R40" s="184">
        <f>SUM(R37:R39)</f>
        <v>332</v>
      </c>
      <c r="S40" s="185">
        <f>R40/'Anlage 1a'!R40*100</f>
        <v>90.710382513661202</v>
      </c>
      <c r="T40" s="184">
        <f>SUM(T37:T39)</f>
        <v>378</v>
      </c>
      <c r="U40" s="185">
        <f>T40/'Anlage 1a'!T40*100</f>
        <v>92.195121951219519</v>
      </c>
      <c r="V40" s="184">
        <f>SUM(V37:V39)</f>
        <v>374</v>
      </c>
      <c r="W40" s="185">
        <f>V40/'Anlage 1a'!V40*100</f>
        <v>90.120481927710841</v>
      </c>
      <c r="X40" s="184">
        <f>SUM(X37:X39)</f>
        <v>333</v>
      </c>
      <c r="Y40" s="185">
        <f>X40/'Anlage 1a'!X40*100</f>
        <v>94.602272727272734</v>
      </c>
      <c r="Z40" s="187">
        <f>SUM(Z37:Z39)</f>
        <v>2103</v>
      </c>
      <c r="AA40" s="188">
        <f>Z40/'Anlage 1a'!Z40*100</f>
        <v>90.881590319792565</v>
      </c>
      <c r="AB40" s="184">
        <f>SUM(AB37:AB39)</f>
        <v>210</v>
      </c>
      <c r="AC40" s="185">
        <f>AB40/'Anlage 1a'!AB40*100</f>
        <v>92.10526315789474</v>
      </c>
      <c r="AD40" s="184">
        <f>SUM(AD37:AD39)</f>
        <v>179</v>
      </c>
      <c r="AE40" s="185">
        <f>AD40/'Anlage 1a'!AD40*100</f>
        <v>95.212765957446805</v>
      </c>
      <c r="AF40" s="184">
        <f>SUM(AF37:AF39)</f>
        <v>178</v>
      </c>
      <c r="AG40" s="185">
        <f>AF40/'Anlage 1a'!AF40*100</f>
        <v>94.680851063829792</v>
      </c>
      <c r="AH40" s="187">
        <f>SUM(AH37:AH39)</f>
        <v>567</v>
      </c>
      <c r="AI40" s="186">
        <f>AH40/'Anlage 1a'!AH40*100</f>
        <v>93.874172185430467</v>
      </c>
      <c r="AJ40" s="187">
        <f>SUM(AJ37:AJ39)</f>
        <v>2670</v>
      </c>
      <c r="AK40" s="188">
        <f>AJ40/'Anlage 1a'!AJ40*100</f>
        <v>91.501028101439346</v>
      </c>
    </row>
    <row r="41" spans="1:37" s="123" customFormat="1" ht="20.100000000000001" customHeight="1" thickBot="1" x14ac:dyDescent="0.3">
      <c r="A41" s="181" t="s">
        <v>47</v>
      </c>
      <c r="B41" s="182"/>
      <c r="C41" s="183"/>
      <c r="D41" s="184"/>
      <c r="E41" s="185"/>
      <c r="F41" s="184"/>
      <c r="G41" s="185"/>
      <c r="H41" s="184"/>
      <c r="I41" s="185"/>
      <c r="J41" s="184"/>
      <c r="K41" s="185"/>
      <c r="L41" s="187"/>
      <c r="M41" s="188"/>
      <c r="N41" s="184">
        <f>SUM(N28,N31,N36,N40)</f>
        <v>814</v>
      </c>
      <c r="O41" s="185">
        <f>N41/'Anlage 1a'!N41*100</f>
        <v>89.548954895489558</v>
      </c>
      <c r="P41" s="184">
        <f>SUM(P28,P31,P36,P40)</f>
        <v>896</v>
      </c>
      <c r="Q41" s="185">
        <f>P41/'Anlage 1a'!P41*100</f>
        <v>90.505050505050505</v>
      </c>
      <c r="R41" s="184">
        <f>SUM(R28,R31,R36,R40)</f>
        <v>828</v>
      </c>
      <c r="S41" s="185">
        <f>R41/'Anlage 1a'!R41*100</f>
        <v>90.196078431372555</v>
      </c>
      <c r="T41" s="184">
        <f>SUM(T38:T40)</f>
        <v>626</v>
      </c>
      <c r="U41" s="185">
        <f>T41/'Anlage 1a'!T41*100</f>
        <v>63.877551020408163</v>
      </c>
      <c r="V41" s="184">
        <f>SUM(V28,V31,V36,V40)</f>
        <v>910</v>
      </c>
      <c r="W41" s="185">
        <f>V41/'Anlage 1a'!V41*100</f>
        <v>91.457286432160799</v>
      </c>
      <c r="X41" s="184">
        <f>SUM(X28,X31,X36,X40)</f>
        <v>471</v>
      </c>
      <c r="Y41" s="185">
        <f>X41/'Anlage 1a'!X41*100</f>
        <v>93.267326732673268</v>
      </c>
      <c r="Z41" s="235">
        <f>SUM(Z28,Z31,Z36,Z40)</f>
        <v>4810</v>
      </c>
      <c r="AA41" s="236">
        <f>Z41/'Anlage 1a'!Z41*100</f>
        <v>90.806116669813093</v>
      </c>
      <c r="AB41" s="184">
        <f>SUM(AB28,AB31,AB36,AB40)</f>
        <v>627</v>
      </c>
      <c r="AC41" s="185">
        <f>AB41/'Anlage 1a'!AB41*100</f>
        <v>94.712990936555897</v>
      </c>
      <c r="AD41" s="184">
        <f>SUM(AD28,AD31,AD36,AD40)</f>
        <v>607</v>
      </c>
      <c r="AE41" s="185">
        <f>AD41/'Anlage 1a'!AD41*100</f>
        <v>96.044303797468359</v>
      </c>
      <c r="AF41" s="184">
        <f>SUM(AF28,AF31,AF36,AF40)</f>
        <v>546</v>
      </c>
      <c r="AG41" s="185">
        <f>AF41/'Anlage 1a'!AF41*100</f>
        <v>96.637168141592923</v>
      </c>
      <c r="AH41" s="187">
        <f>SUM(AH28,AH31,AH36,AH40)</f>
        <v>1780</v>
      </c>
      <c r="AI41" s="186">
        <f>AH41/'Anlage 1a'!AH41*100</f>
        <v>95.750403442711146</v>
      </c>
      <c r="AJ41" s="187">
        <f>SUM(AJ28,AJ31,AJ36,AJ40)</f>
        <v>6590</v>
      </c>
      <c r="AK41" s="188">
        <f>AJ41/'Anlage 1a'!AJ41*100</f>
        <v>92.090553381777525</v>
      </c>
    </row>
    <row r="42" spans="1:37" s="123" customFormat="1" ht="20.100000000000001" hidden="1" customHeight="1" x14ac:dyDescent="0.25">
      <c r="A42" s="719" t="s">
        <v>175</v>
      </c>
      <c r="B42" s="677"/>
      <c r="C42" s="678"/>
      <c r="D42" s="683"/>
      <c r="E42" s="680"/>
      <c r="F42" s="681"/>
      <c r="G42" s="680"/>
      <c r="H42" s="681"/>
      <c r="I42" s="680"/>
      <c r="J42" s="681"/>
      <c r="K42" s="684"/>
      <c r="L42" s="683"/>
      <c r="M42" s="684"/>
      <c r="N42" s="683"/>
      <c r="O42" s="680"/>
      <c r="P42" s="681"/>
      <c r="Q42" s="680"/>
      <c r="R42" s="681"/>
      <c r="S42" s="680"/>
      <c r="T42" s="681"/>
      <c r="U42" s="680"/>
      <c r="V42" s="681"/>
      <c r="W42" s="680"/>
      <c r="X42" s="681"/>
      <c r="Y42" s="685"/>
      <c r="Z42" s="683"/>
      <c r="AA42" s="684"/>
      <c r="AB42" s="686"/>
      <c r="AC42" s="687"/>
      <c r="AD42" s="688"/>
      <c r="AE42" s="687"/>
      <c r="AF42" s="688"/>
      <c r="AG42" s="720"/>
      <c r="AH42" s="721"/>
      <c r="AI42" s="720"/>
      <c r="AJ42" s="683"/>
      <c r="AK42" s="684"/>
    </row>
    <row r="43" spans="1:37" s="123" customFormat="1" ht="20.100000000000001" hidden="1" customHeight="1" thickBot="1" x14ac:dyDescent="0.3">
      <c r="A43" s="722" t="s">
        <v>176</v>
      </c>
      <c r="B43" s="692"/>
      <c r="C43" s="693"/>
      <c r="D43" s="692"/>
      <c r="E43" s="695"/>
      <c r="F43" s="696"/>
      <c r="G43" s="695"/>
      <c r="H43" s="696"/>
      <c r="I43" s="695"/>
      <c r="J43" s="696"/>
      <c r="K43" s="699"/>
      <c r="L43" s="692"/>
      <c r="M43" s="699"/>
      <c r="N43" s="692"/>
      <c r="O43" s="695"/>
      <c r="P43" s="696"/>
      <c r="Q43" s="695"/>
      <c r="R43" s="696"/>
      <c r="S43" s="695"/>
      <c r="T43" s="696"/>
      <c r="U43" s="695"/>
      <c r="V43" s="696"/>
      <c r="W43" s="695"/>
      <c r="X43" s="696"/>
      <c r="Y43" s="698"/>
      <c r="Z43" s="692"/>
      <c r="AA43" s="699"/>
      <c r="AB43" s="700"/>
      <c r="AC43" s="701"/>
      <c r="AD43" s="702"/>
      <c r="AE43" s="701"/>
      <c r="AF43" s="702"/>
      <c r="AG43" s="723"/>
      <c r="AH43" s="724"/>
      <c r="AI43" s="723"/>
      <c r="AJ43" s="692"/>
      <c r="AK43" s="699"/>
    </row>
    <row r="44" spans="1:37" s="123" customFormat="1" ht="20.100000000000001" hidden="1" customHeight="1" thickBot="1" x14ac:dyDescent="0.3">
      <c r="A44" s="705" t="s">
        <v>178</v>
      </c>
      <c r="B44" s="706"/>
      <c r="C44" s="707"/>
      <c r="D44" s="725"/>
      <c r="E44" s="695"/>
      <c r="F44" s="726"/>
      <c r="G44" s="695"/>
      <c r="H44" s="726"/>
      <c r="I44" s="695"/>
      <c r="J44" s="726"/>
      <c r="K44" s="727"/>
      <c r="L44" s="728"/>
      <c r="M44" s="729"/>
      <c r="N44" s="726"/>
      <c r="O44" s="727"/>
      <c r="P44" s="726"/>
      <c r="Q44" s="727"/>
      <c r="R44" s="726"/>
      <c r="S44" s="730"/>
      <c r="T44" s="726"/>
      <c r="U44" s="727"/>
      <c r="V44" s="726"/>
      <c r="W44" s="727"/>
      <c r="X44" s="726"/>
      <c r="Y44" s="727"/>
      <c r="Z44" s="728"/>
      <c r="AA44" s="729"/>
      <c r="AB44" s="726"/>
      <c r="AC44" s="727"/>
      <c r="AD44" s="726"/>
      <c r="AE44" s="727"/>
      <c r="AF44" s="726"/>
      <c r="AG44" s="727"/>
      <c r="AH44" s="731"/>
      <c r="AI44" s="732"/>
      <c r="AJ44" s="728"/>
      <c r="AK44" s="729"/>
    </row>
    <row r="45" spans="1:37" s="123" customFormat="1" ht="20.100000000000001" customHeight="1" thickBot="1" x14ac:dyDescent="0.3">
      <c r="A45" s="286" t="s">
        <v>48</v>
      </c>
      <c r="B45" s="245"/>
      <c r="C45" s="183"/>
      <c r="D45" s="287">
        <f>SUM(D26,D41,D44)</f>
        <v>725</v>
      </c>
      <c r="E45" s="281">
        <f>D45/'Anlage 1a'!D45*100</f>
        <v>86.30952380952381</v>
      </c>
      <c r="F45" s="287">
        <f>SUM(F26,F41,F44)</f>
        <v>781</v>
      </c>
      <c r="G45" s="281">
        <f>F45/'Anlage 1a'!F45*100</f>
        <v>83.798283261802581</v>
      </c>
      <c r="H45" s="287">
        <f>SUM(H26,H41,H44)</f>
        <v>753</v>
      </c>
      <c r="I45" s="281">
        <f>H45/'Anlage 1a'!H45*100</f>
        <v>85.374149659863946</v>
      </c>
      <c r="J45" s="287">
        <f>SUM(J26,J41,J44)</f>
        <v>720</v>
      </c>
      <c r="K45" s="281">
        <f>J45/'Anlage 1a'!J45*100</f>
        <v>81.632653061224488</v>
      </c>
      <c r="L45" s="287">
        <f>SUM(L26,L41,L44)</f>
        <v>2979</v>
      </c>
      <c r="M45" s="281">
        <f>L45/'Anlage 1a'!L45*100</f>
        <v>84.247737556561091</v>
      </c>
      <c r="N45" s="287">
        <f>SUM(N25,N41,N44)</f>
        <v>814</v>
      </c>
      <c r="O45" s="281">
        <f>N45/'Anlage 1a'!N45*100</f>
        <v>89.548954895489558</v>
      </c>
      <c r="P45" s="287">
        <f>SUM(P25,P41,P44)</f>
        <v>896</v>
      </c>
      <c r="Q45" s="281">
        <f>P45/'Anlage 1a'!P45*100</f>
        <v>90.505050505050505</v>
      </c>
      <c r="R45" s="287">
        <f>SUM(R25,R41,R44)</f>
        <v>828</v>
      </c>
      <c r="S45" s="281">
        <f>R45/'Anlage 1a'!R45*100</f>
        <v>90.196078431372555</v>
      </c>
      <c r="T45" s="287">
        <f>SUM(T25,T41,T44)</f>
        <v>626</v>
      </c>
      <c r="U45" s="281">
        <f>T45/'Anlage 1a'!T45*100</f>
        <v>63.877551020408163</v>
      </c>
      <c r="V45" s="287">
        <f>SUM(V25,V41,V44)</f>
        <v>910</v>
      </c>
      <c r="W45" s="281">
        <f>V45/'Anlage 1a'!V45*100</f>
        <v>91.457286432160799</v>
      </c>
      <c r="X45" s="287">
        <f>SUM(X25,X41,X44)</f>
        <v>471</v>
      </c>
      <c r="Y45" s="281">
        <f>X45/'Anlage 1a'!X45*100</f>
        <v>93.267326732673268</v>
      </c>
      <c r="Z45" s="287">
        <f>SUM(Z25,Z41,Z44)</f>
        <v>4810</v>
      </c>
      <c r="AA45" s="281">
        <f>Z45/'Anlage 1a'!Z45*100</f>
        <v>90.806116669813093</v>
      </c>
      <c r="AB45" s="287">
        <f>SUM(AB25,AB41,AB44)</f>
        <v>627</v>
      </c>
      <c r="AC45" s="281">
        <f>AB45/'Anlage 1a'!AB45*100</f>
        <v>94.712990936555897</v>
      </c>
      <c r="AD45" s="287">
        <f>SUM(AD25,AD41,AD44)</f>
        <v>607</v>
      </c>
      <c r="AE45" s="281">
        <f>AD45/'Anlage 1a'!AD45*100</f>
        <v>96.044303797468359</v>
      </c>
      <c r="AF45" s="287">
        <f>SUM(AF25,AF41,AF44)</f>
        <v>546</v>
      </c>
      <c r="AG45" s="281">
        <f>AF45/'Anlage 1a'!AF45*100</f>
        <v>96.637168141592923</v>
      </c>
      <c r="AH45" s="288">
        <f>SUM(AH25,AH41,AH44)</f>
        <v>1780</v>
      </c>
      <c r="AI45" s="283">
        <f>AH45/'Anlage 1a'!AH45*100</f>
        <v>95.750403442711146</v>
      </c>
      <c r="AJ45" s="242">
        <f>SUM(AJ26,AJ41,AJ44)</f>
        <v>9569</v>
      </c>
      <c r="AK45" s="243">
        <f>AJ45/'Anlage 1a'!AJ45*100</f>
        <v>89.496820052375597</v>
      </c>
    </row>
    <row r="46" spans="1:37" ht="20.100000000000001" customHeight="1" x14ac:dyDescent="0.25">
      <c r="A46" s="289"/>
      <c r="B46" s="289"/>
      <c r="C46" s="289"/>
      <c r="D46" s="290"/>
      <c r="E46" s="291"/>
      <c r="F46" s="290"/>
      <c r="G46" s="291"/>
      <c r="H46" s="290"/>
      <c r="I46" s="291"/>
      <c r="J46" s="290"/>
      <c r="K46" s="291"/>
      <c r="L46" s="290"/>
      <c r="M46" s="291"/>
      <c r="N46" s="290"/>
      <c r="O46" s="291"/>
      <c r="P46" s="290"/>
      <c r="Q46" s="291"/>
      <c r="R46" s="290"/>
      <c r="S46" s="291"/>
      <c r="T46" s="290"/>
      <c r="U46" s="291"/>
      <c r="V46" s="290"/>
      <c r="W46" s="291"/>
      <c r="X46" s="290"/>
      <c r="Y46" s="291"/>
      <c r="Z46" s="290"/>
      <c r="AA46" s="291"/>
      <c r="AB46" s="290"/>
      <c r="AC46" s="291"/>
      <c r="AD46" s="290"/>
      <c r="AE46" s="291"/>
      <c r="AF46" s="290"/>
      <c r="AG46" s="291"/>
      <c r="AH46" s="289"/>
      <c r="AI46" s="291"/>
      <c r="AJ46" s="290"/>
      <c r="AK46" s="291"/>
    </row>
    <row r="47" spans="1:37" x14ac:dyDescent="0.25">
      <c r="A47" s="123" t="s">
        <v>59</v>
      </c>
    </row>
    <row r="48" spans="1:37" x14ac:dyDescent="0.25">
      <c r="B48" s="123"/>
      <c r="C48" s="123"/>
    </row>
    <row r="50" spans="1:3" x14ac:dyDescent="0.25">
      <c r="A50" s="261" t="s">
        <v>204</v>
      </c>
      <c r="B50" s="261"/>
      <c r="C50" s="261"/>
    </row>
  </sheetData>
  <customSheetViews>
    <customSheetView guid="{0224233B-564D-4BBC-A6B2-E639E6D2CFB3}" showPageBreaks="1" fitToPage="1" showRuler="0">
      <selection activeCell="C48" sqref="C48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scale="56" orientation="landscape" horizontalDpi="300" verticalDpi="300" r:id="rId1"/>
      <headerFooter alignWithMargins="0">
        <oddHeader>&amp;LFachbereich 9&amp;C&amp;A&amp;ROktober   2009</oddHeader>
        <oddFooter>Seite &amp;P&amp;R&amp;Z&amp;F</oddFooter>
      </headerFooter>
    </customSheetView>
  </customSheetViews>
  <mergeCells count="1">
    <mergeCell ref="B3:C3"/>
  </mergeCells>
  <phoneticPr fontId="2" type="noConversion"/>
  <hyperlinks>
    <hyperlink ref="A50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59" orientation="landscape" verticalDpi="300" r:id="rId2"/>
  <headerFooter alignWithMargins="0">
    <oddHeader>&amp;L&amp;"PT Sans,Standard"Fachbereich 9&amp;R&amp;"PT Sans,Standard"&amp;A</oddHeader>
    <oddFooter>&amp;C&amp;"PT Sans,Standard"Seite &amp;P&amp;R&amp;"PT Sans,Standard"&amp;F</oddFooter>
  </headerFooter>
  <cellWatches>
    <cellWatch r="D32"/>
  </cellWatch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4"/>
  <sheetViews>
    <sheetView zoomScale="75" zoomScaleNormal="75" zoomScalePageLayoutView="70" workbookViewId="0">
      <selection activeCell="AG41" sqref="AG41"/>
    </sheetView>
  </sheetViews>
  <sheetFormatPr baseColWidth="10" defaultRowHeight="12.75" x14ac:dyDescent="0.2"/>
  <cols>
    <col min="1" max="1" width="28" customWidth="1"/>
    <col min="2" max="2" width="8.5703125" hidden="1" customWidth="1"/>
    <col min="3" max="3" width="3.5703125" hidden="1" customWidth="1"/>
    <col min="4" max="4" width="6.28515625" customWidth="1"/>
    <col min="5" max="5" width="4.5703125" bestFit="1" customWidth="1"/>
    <col min="6" max="6" width="5.140625" bestFit="1" customWidth="1"/>
    <col min="7" max="7" width="4.5703125" bestFit="1" customWidth="1"/>
    <col min="8" max="8" width="5.28515625" bestFit="1" customWidth="1"/>
    <col min="9" max="9" width="4.5703125" bestFit="1" customWidth="1"/>
    <col min="10" max="10" width="5.28515625" bestFit="1" customWidth="1"/>
    <col min="11" max="11" width="4.5703125" bestFit="1" customWidth="1"/>
    <col min="12" max="12" width="6.42578125" bestFit="1" customWidth="1"/>
    <col min="13" max="13" width="5.140625" bestFit="1" customWidth="1"/>
    <col min="14" max="14" width="5.28515625" bestFit="1" customWidth="1"/>
    <col min="15" max="15" width="3.85546875" bestFit="1" customWidth="1"/>
    <col min="16" max="16" width="5.28515625" bestFit="1" customWidth="1"/>
    <col min="17" max="17" width="3.85546875" bestFit="1" customWidth="1"/>
    <col min="18" max="18" width="6.42578125" bestFit="1" customWidth="1"/>
    <col min="19" max="19" width="3.85546875" bestFit="1" customWidth="1"/>
    <col min="20" max="20" width="6.42578125" bestFit="1" customWidth="1"/>
    <col min="21" max="21" width="3.85546875" bestFit="1" customWidth="1"/>
    <col min="22" max="22" width="6.42578125" bestFit="1" customWidth="1"/>
    <col min="23" max="23" width="3.85546875" bestFit="1" customWidth="1"/>
    <col min="24" max="25" width="5.28515625" customWidth="1"/>
    <col min="26" max="26" width="6.42578125" bestFit="1" customWidth="1"/>
    <col min="27" max="27" width="5.140625" bestFit="1" customWidth="1"/>
    <col min="28" max="28" width="5.28515625" bestFit="1" customWidth="1"/>
    <col min="29" max="29" width="3.85546875" bestFit="1" customWidth="1"/>
    <col min="30" max="30" width="5.28515625" bestFit="1" customWidth="1"/>
    <col min="31" max="31" width="3.85546875" bestFit="1" customWidth="1"/>
    <col min="32" max="32" width="5.28515625" bestFit="1" customWidth="1"/>
    <col min="33" max="33" width="3.85546875" bestFit="1" customWidth="1"/>
    <col min="34" max="34" width="6.42578125" bestFit="1" customWidth="1"/>
    <col min="35" max="35" width="5.140625" bestFit="1" customWidth="1"/>
    <col min="36" max="36" width="7.7109375" bestFit="1" customWidth="1"/>
    <col min="37" max="37" width="6" bestFit="1" customWidth="1"/>
    <col min="38" max="38" width="0" hidden="1" customWidth="1"/>
  </cols>
  <sheetData>
    <row r="1" spans="1:39" ht="21" x14ac:dyDescent="0.35">
      <c r="A1" s="607" t="s">
        <v>326</v>
      </c>
      <c r="AM1" s="611"/>
    </row>
    <row r="2" spans="1:39" ht="13.5" thickBot="1" x14ac:dyDescent="0.25"/>
    <row r="3" spans="1:39" ht="14.25" customHeight="1" thickBot="1" x14ac:dyDescent="0.3">
      <c r="A3" s="949"/>
      <c r="B3" s="946" t="s">
        <v>205</v>
      </c>
      <c r="C3" s="947"/>
      <c r="D3" s="11" t="s">
        <v>5</v>
      </c>
      <c r="E3" s="12"/>
      <c r="F3" s="12" t="s">
        <v>6</v>
      </c>
      <c r="G3" s="12"/>
      <c r="H3" s="12" t="s">
        <v>7</v>
      </c>
      <c r="I3" s="12"/>
      <c r="J3" s="12" t="s">
        <v>8</v>
      </c>
      <c r="K3" s="12"/>
      <c r="L3" s="13" t="s">
        <v>9</v>
      </c>
      <c r="M3" s="14"/>
      <c r="N3" s="12" t="s">
        <v>10</v>
      </c>
      <c r="O3" s="12"/>
      <c r="P3" s="12" t="s">
        <v>11</v>
      </c>
      <c r="Q3" s="12"/>
      <c r="R3" s="12" t="s">
        <v>12</v>
      </c>
      <c r="S3" s="12"/>
      <c r="T3" s="12" t="s">
        <v>13</v>
      </c>
      <c r="U3" s="12"/>
      <c r="V3" s="12" t="s">
        <v>14</v>
      </c>
      <c r="W3" s="12"/>
      <c r="X3" s="12" t="s">
        <v>15</v>
      </c>
      <c r="Y3" s="12"/>
      <c r="Z3" s="13" t="s">
        <v>60</v>
      </c>
      <c r="AA3" s="14"/>
      <c r="AB3" s="12" t="s">
        <v>16</v>
      </c>
      <c r="AC3" s="12"/>
      <c r="AD3" s="12" t="s">
        <v>17</v>
      </c>
      <c r="AE3" s="15"/>
      <c r="AF3" s="12" t="s">
        <v>18</v>
      </c>
      <c r="AG3" s="12"/>
      <c r="AH3" s="13" t="s">
        <v>61</v>
      </c>
      <c r="AI3" s="16"/>
      <c r="AJ3" s="13" t="s">
        <v>19</v>
      </c>
      <c r="AK3" s="14"/>
      <c r="AL3" s="10"/>
    </row>
    <row r="4" spans="1:39" ht="16.5" thickBot="1" x14ac:dyDescent="0.3">
      <c r="A4" s="950"/>
      <c r="B4" s="18" t="s">
        <v>20</v>
      </c>
      <c r="C4" s="19" t="s">
        <v>21</v>
      </c>
      <c r="D4" s="20" t="s">
        <v>20</v>
      </c>
      <c r="E4" s="21" t="s">
        <v>21</v>
      </c>
      <c r="F4" s="21" t="s">
        <v>20</v>
      </c>
      <c r="G4" s="21" t="s">
        <v>21</v>
      </c>
      <c r="H4" s="21" t="s">
        <v>20</v>
      </c>
      <c r="I4" s="21" t="s">
        <v>21</v>
      </c>
      <c r="J4" s="21" t="s">
        <v>20</v>
      </c>
      <c r="K4" s="21" t="s">
        <v>21</v>
      </c>
      <c r="L4" s="22" t="s">
        <v>20</v>
      </c>
      <c r="M4" s="23" t="s">
        <v>21</v>
      </c>
      <c r="N4" s="21" t="s">
        <v>20</v>
      </c>
      <c r="O4" s="21" t="s">
        <v>21</v>
      </c>
      <c r="P4" s="21" t="s">
        <v>20</v>
      </c>
      <c r="Q4" s="21" t="s">
        <v>21</v>
      </c>
      <c r="R4" s="21" t="s">
        <v>20</v>
      </c>
      <c r="S4" s="21" t="s">
        <v>21</v>
      </c>
      <c r="T4" s="21" t="s">
        <v>20</v>
      </c>
      <c r="U4" s="21" t="s">
        <v>21</v>
      </c>
      <c r="V4" s="21" t="s">
        <v>20</v>
      </c>
      <c r="W4" s="21" t="s">
        <v>21</v>
      </c>
      <c r="X4" s="21" t="s">
        <v>20</v>
      </c>
      <c r="Y4" s="21" t="s">
        <v>21</v>
      </c>
      <c r="Z4" s="22" t="s">
        <v>20</v>
      </c>
      <c r="AA4" s="23" t="s">
        <v>21</v>
      </c>
      <c r="AB4" s="21" t="s">
        <v>20</v>
      </c>
      <c r="AC4" s="24" t="s">
        <v>208</v>
      </c>
      <c r="AD4" s="21" t="s">
        <v>20</v>
      </c>
      <c r="AE4" s="24" t="s">
        <v>208</v>
      </c>
      <c r="AF4" s="21" t="s">
        <v>20</v>
      </c>
      <c r="AG4" s="24" t="s">
        <v>208</v>
      </c>
      <c r="AH4" s="22" t="s">
        <v>20</v>
      </c>
      <c r="AI4" s="21" t="s">
        <v>208</v>
      </c>
      <c r="AJ4" s="25" t="s">
        <v>20</v>
      </c>
      <c r="AK4" s="26" t="s">
        <v>62</v>
      </c>
      <c r="AL4" s="17"/>
    </row>
    <row r="5" spans="1:39" ht="15.75" x14ac:dyDescent="0.25">
      <c r="A5" s="27" t="s">
        <v>22</v>
      </c>
      <c r="B5" s="28"/>
      <c r="C5" s="29"/>
      <c r="D5" s="30">
        <v>0</v>
      </c>
      <c r="E5" s="608">
        <f>'Anlage 1a'!E5</f>
        <v>2</v>
      </c>
      <c r="F5" s="31">
        <v>0</v>
      </c>
      <c r="G5" s="608">
        <f>'Anlage 1a'!G5</f>
        <v>2</v>
      </c>
      <c r="H5" s="31">
        <v>1</v>
      </c>
      <c r="I5" s="608">
        <f>'Anlage 1a'!I5</f>
        <v>2</v>
      </c>
      <c r="J5" s="31">
        <v>0</v>
      </c>
      <c r="K5" s="608">
        <f>'Anlage 1a'!K5</f>
        <v>3</v>
      </c>
      <c r="L5" s="32">
        <f>SUM(D5,F5,H5,J5)</f>
        <v>1</v>
      </c>
      <c r="M5" s="33">
        <f>SUM(E5,G5,I5,K5)</f>
        <v>9</v>
      </c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5">
        <f>SUM(N5,P5,R5,T5,V5,X5)</f>
        <v>0</v>
      </c>
      <c r="AA5" s="36">
        <f>SUM(O5,Q5,S5,U5,W5,Y5)</f>
        <v>0</v>
      </c>
      <c r="AB5" s="34"/>
      <c r="AC5" s="34"/>
      <c r="AD5" s="34"/>
      <c r="AE5" s="34"/>
      <c r="AF5" s="34"/>
      <c r="AG5" s="34"/>
      <c r="AH5" s="35">
        <f t="shared" ref="AH5:AI8" si="0">SUM(AB5,AD5,AF5)</f>
        <v>0</v>
      </c>
      <c r="AI5" s="37">
        <f t="shared" si="0"/>
        <v>0</v>
      </c>
      <c r="AJ5" s="32">
        <f t="shared" ref="AJ5:AK8" si="1">SUM(L5,Z5,AH5)</f>
        <v>1</v>
      </c>
      <c r="AK5" s="33">
        <f t="shared" si="1"/>
        <v>9</v>
      </c>
      <c r="AL5" s="27"/>
    </row>
    <row r="6" spans="1:39" ht="15.75" x14ac:dyDescent="0.25">
      <c r="A6" s="27" t="s">
        <v>23</v>
      </c>
      <c r="B6" s="28"/>
      <c r="C6" s="29"/>
      <c r="D6" s="30">
        <v>1</v>
      </c>
      <c r="E6" s="608">
        <f>'Anlage 1a'!E6</f>
        <v>2</v>
      </c>
      <c r="F6" s="31">
        <v>2</v>
      </c>
      <c r="G6" s="608">
        <f>'Anlage 1a'!G6</f>
        <v>2</v>
      </c>
      <c r="H6" s="31">
        <v>0</v>
      </c>
      <c r="I6" s="608">
        <f>'Anlage 1a'!I6</f>
        <v>2</v>
      </c>
      <c r="J6" s="31">
        <v>0</v>
      </c>
      <c r="K6" s="608">
        <f>'Anlage 1a'!K6</f>
        <v>2</v>
      </c>
      <c r="L6" s="32">
        <f>SUM(D6,F6,H6,J6)</f>
        <v>3</v>
      </c>
      <c r="M6" s="33">
        <f t="shared" ref="L6:M21" si="2">SUM(E6,G6,I6,K6)</f>
        <v>8</v>
      </c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5">
        <f t="shared" ref="Z6:AA8" si="3">SUM(N6,P6,R6,T6,V6,X6)</f>
        <v>0</v>
      </c>
      <c r="AA6" s="36">
        <f t="shared" si="3"/>
        <v>0</v>
      </c>
      <c r="AB6" s="34"/>
      <c r="AC6" s="34"/>
      <c r="AD6" s="34"/>
      <c r="AE6" s="34"/>
      <c r="AF6" s="34"/>
      <c r="AG6" s="34"/>
      <c r="AH6" s="35">
        <f t="shared" si="0"/>
        <v>0</v>
      </c>
      <c r="AI6" s="37">
        <f t="shared" si="0"/>
        <v>0</v>
      </c>
      <c r="AJ6" s="32">
        <f t="shared" si="1"/>
        <v>3</v>
      </c>
      <c r="AK6" s="33">
        <f t="shared" si="1"/>
        <v>8</v>
      </c>
      <c r="AL6" s="27"/>
    </row>
    <row r="7" spans="1:39" ht="15.75" x14ac:dyDescent="0.25">
      <c r="A7" s="27" t="s">
        <v>24</v>
      </c>
      <c r="B7" s="28"/>
      <c r="C7" s="29"/>
      <c r="D7" s="30">
        <v>2</v>
      </c>
      <c r="E7" s="608">
        <f>'Anlage 1a'!E7</f>
        <v>2</v>
      </c>
      <c r="F7" s="31">
        <v>5</v>
      </c>
      <c r="G7" s="608">
        <f>'Anlage 1a'!G7</f>
        <v>2</v>
      </c>
      <c r="H7" s="31">
        <v>0</v>
      </c>
      <c r="I7" s="608">
        <f>'Anlage 1a'!I7</f>
        <v>2</v>
      </c>
      <c r="J7" s="31">
        <v>0</v>
      </c>
      <c r="K7" s="608">
        <f>'Anlage 1a'!K7</f>
        <v>3</v>
      </c>
      <c r="L7" s="32">
        <f t="shared" si="2"/>
        <v>7</v>
      </c>
      <c r="M7" s="33">
        <f t="shared" si="2"/>
        <v>9</v>
      </c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5">
        <f t="shared" si="3"/>
        <v>0</v>
      </c>
      <c r="AA7" s="36">
        <f t="shared" si="3"/>
        <v>0</v>
      </c>
      <c r="AB7" s="34"/>
      <c r="AC7" s="34"/>
      <c r="AD7" s="34"/>
      <c r="AE7" s="34"/>
      <c r="AF7" s="34"/>
      <c r="AG7" s="34"/>
      <c r="AH7" s="35">
        <f t="shared" si="0"/>
        <v>0</v>
      </c>
      <c r="AI7" s="37">
        <f t="shared" si="0"/>
        <v>0</v>
      </c>
      <c r="AJ7" s="32">
        <f t="shared" si="1"/>
        <v>7</v>
      </c>
      <c r="AK7" s="33">
        <f t="shared" si="1"/>
        <v>9</v>
      </c>
      <c r="AL7" s="27"/>
    </row>
    <row r="8" spans="1:39" ht="16.5" thickBot="1" x14ac:dyDescent="0.3">
      <c r="A8" s="38" t="s">
        <v>291</v>
      </c>
      <c r="B8" s="39"/>
      <c r="C8" s="40"/>
      <c r="D8" s="41">
        <v>7</v>
      </c>
      <c r="E8" s="608">
        <f>'Anlage 1a'!E8</f>
        <v>2</v>
      </c>
      <c r="F8" s="41">
        <v>3</v>
      </c>
      <c r="G8" s="608">
        <f>'Anlage 1a'!G8</f>
        <v>1</v>
      </c>
      <c r="H8" s="31">
        <v>0</v>
      </c>
      <c r="I8" s="608">
        <f>'Anlage 1a'!I8</f>
        <v>2</v>
      </c>
      <c r="J8" s="916">
        <v>2</v>
      </c>
      <c r="K8" s="608">
        <f>'Anlage 1a'!K8</f>
        <v>2</v>
      </c>
      <c r="L8" s="43">
        <f>SUM(D8+F8+H8+J8)</f>
        <v>12</v>
      </c>
      <c r="M8" s="44">
        <f t="shared" si="2"/>
        <v>7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6">
        <f t="shared" si="3"/>
        <v>0</v>
      </c>
      <c r="AA8" s="47">
        <f t="shared" si="3"/>
        <v>0</v>
      </c>
      <c r="AB8" s="45"/>
      <c r="AC8" s="45">
        <v>0</v>
      </c>
      <c r="AD8" s="45"/>
      <c r="AE8" s="45"/>
      <c r="AF8" s="45"/>
      <c r="AG8" s="48"/>
      <c r="AH8" s="46">
        <f t="shared" si="0"/>
        <v>0</v>
      </c>
      <c r="AI8" s="49">
        <f t="shared" si="0"/>
        <v>0</v>
      </c>
      <c r="AJ8" s="43">
        <f t="shared" si="1"/>
        <v>12</v>
      </c>
      <c r="AK8" s="44">
        <f t="shared" si="1"/>
        <v>7</v>
      </c>
      <c r="AL8" s="38"/>
    </row>
    <row r="9" spans="1:39" ht="16.5" thickBot="1" x14ac:dyDescent="0.3">
      <c r="A9" s="50" t="s">
        <v>25</v>
      </c>
      <c r="B9" s="51"/>
      <c r="C9" s="52"/>
      <c r="D9" s="53">
        <f>SUM(D5,D6,D7,D8)</f>
        <v>10</v>
      </c>
      <c r="E9" s="54">
        <f t="shared" ref="E9:Y9" si="4">SUM(E5,E6,E7,E8)</f>
        <v>8</v>
      </c>
      <c r="F9" s="54">
        <f>SUM(F5,F6,F7,F8)</f>
        <v>10</v>
      </c>
      <c r="G9" s="54">
        <f t="shared" si="4"/>
        <v>7</v>
      </c>
      <c r="H9" s="54">
        <f>SUM(H5,H6,H7,H8)</f>
        <v>1</v>
      </c>
      <c r="I9" s="54">
        <f t="shared" si="4"/>
        <v>8</v>
      </c>
      <c r="J9" s="54">
        <f>SUM(J5,J6,J7,J8)</f>
        <v>2</v>
      </c>
      <c r="K9" s="54">
        <f t="shared" si="4"/>
        <v>10</v>
      </c>
      <c r="L9" s="55">
        <f t="shared" si="4"/>
        <v>23</v>
      </c>
      <c r="M9" s="56">
        <f t="shared" si="4"/>
        <v>33</v>
      </c>
      <c r="N9" s="57">
        <f t="shared" si="4"/>
        <v>0</v>
      </c>
      <c r="O9" s="57">
        <f t="shared" si="4"/>
        <v>0</v>
      </c>
      <c r="P9" s="57">
        <f t="shared" si="4"/>
        <v>0</v>
      </c>
      <c r="Q9" s="57">
        <f t="shared" si="4"/>
        <v>0</v>
      </c>
      <c r="R9" s="57">
        <f t="shared" si="4"/>
        <v>0</v>
      </c>
      <c r="S9" s="57">
        <f t="shared" si="4"/>
        <v>0</v>
      </c>
      <c r="T9" s="57">
        <f t="shared" si="4"/>
        <v>0</v>
      </c>
      <c r="U9" s="57">
        <f t="shared" si="4"/>
        <v>0</v>
      </c>
      <c r="V9" s="57">
        <f t="shared" si="4"/>
        <v>0</v>
      </c>
      <c r="W9" s="57">
        <f t="shared" si="4"/>
        <v>0</v>
      </c>
      <c r="X9" s="57">
        <f t="shared" si="4"/>
        <v>0</v>
      </c>
      <c r="Y9" s="57">
        <f t="shared" si="4"/>
        <v>0</v>
      </c>
      <c r="Z9" s="58"/>
      <c r="AA9" s="59"/>
      <c r="AB9" s="57"/>
      <c r="AC9" s="57"/>
      <c r="AD9" s="57"/>
      <c r="AE9" s="57"/>
      <c r="AF9" s="57"/>
      <c r="AG9" s="57"/>
      <c r="AH9" s="58"/>
      <c r="AI9" s="60"/>
      <c r="AJ9" s="55">
        <f>SUM(AJ5,AJ6,AJ7,AJ8)</f>
        <v>23</v>
      </c>
      <c r="AK9" s="56">
        <f>SUM(AK5,AK6,AK7,AK8)</f>
        <v>33</v>
      </c>
      <c r="AL9" s="50"/>
    </row>
    <row r="10" spans="1:39" ht="15.75" hidden="1" x14ac:dyDescent="0.25">
      <c r="A10" s="635" t="s">
        <v>26</v>
      </c>
      <c r="B10" s="636"/>
      <c r="C10" s="637"/>
      <c r="D10" s="638"/>
      <c r="E10" s="733"/>
      <c r="F10" s="639"/>
      <c r="G10" s="639"/>
      <c r="H10" s="639"/>
      <c r="I10" s="639"/>
      <c r="J10" s="639"/>
      <c r="K10" s="639"/>
      <c r="L10" s="640"/>
      <c r="M10" s="641"/>
      <c r="N10" s="642"/>
      <c r="O10" s="642"/>
      <c r="P10" s="642"/>
      <c r="Q10" s="642"/>
      <c r="R10" s="642"/>
      <c r="S10" s="642"/>
      <c r="T10" s="642"/>
      <c r="U10" s="642"/>
      <c r="V10" s="642"/>
      <c r="W10" s="642"/>
      <c r="X10" s="642"/>
      <c r="Y10" s="642"/>
      <c r="Z10" s="643"/>
      <c r="AA10" s="644"/>
      <c r="AB10" s="642"/>
      <c r="AC10" s="642"/>
      <c r="AD10" s="642"/>
      <c r="AE10" s="642"/>
      <c r="AF10" s="642"/>
      <c r="AG10" s="642"/>
      <c r="AH10" s="643"/>
      <c r="AI10" s="645"/>
      <c r="AJ10" s="640"/>
      <c r="AK10" s="641"/>
      <c r="AL10" s="61"/>
    </row>
    <row r="11" spans="1:39" ht="15.75" x14ac:dyDescent="0.25">
      <c r="A11" s="27" t="s">
        <v>27</v>
      </c>
      <c r="B11" s="28"/>
      <c r="C11" s="72"/>
      <c r="D11" s="30">
        <v>6</v>
      </c>
      <c r="E11" s="608">
        <f>'Anlage 1a'!E11</f>
        <v>3</v>
      </c>
      <c r="F11" s="31">
        <v>16</v>
      </c>
      <c r="G11" s="609">
        <f>'Anlage 1a'!G11</f>
        <v>3</v>
      </c>
      <c r="H11" s="31">
        <v>4</v>
      </c>
      <c r="I11" s="609">
        <f>'Anlage 1a'!I11</f>
        <v>3</v>
      </c>
      <c r="J11" s="31">
        <v>4</v>
      </c>
      <c r="K11" s="609">
        <f>'Anlage 1a'!K11</f>
        <v>3</v>
      </c>
      <c r="L11" s="32">
        <f t="shared" si="2"/>
        <v>30</v>
      </c>
      <c r="M11" s="33">
        <f t="shared" si="2"/>
        <v>12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5"/>
      <c r="AA11" s="36"/>
      <c r="AB11" s="34"/>
      <c r="AC11" s="34"/>
      <c r="AD11" s="34"/>
      <c r="AE11" s="34"/>
      <c r="AF11" s="34"/>
      <c r="AG11" s="34"/>
      <c r="AH11" s="35"/>
      <c r="AI11" s="37"/>
      <c r="AJ11" s="32">
        <f t="shared" ref="AJ11:AK15" si="5">SUM(L11,Z11,AH11)</f>
        <v>30</v>
      </c>
      <c r="AK11" s="33">
        <f t="shared" si="5"/>
        <v>12</v>
      </c>
      <c r="AL11" s="27"/>
    </row>
    <row r="12" spans="1:39" ht="15.75" x14ac:dyDescent="0.25">
      <c r="A12" s="27" t="s">
        <v>28</v>
      </c>
      <c r="B12" s="28"/>
      <c r="C12" s="72"/>
      <c r="D12" s="30">
        <v>1</v>
      </c>
      <c r="E12" s="608">
        <f>'Anlage 1a'!E12</f>
        <v>2</v>
      </c>
      <c r="F12" s="31">
        <v>2</v>
      </c>
      <c r="G12" s="609">
        <f>'Anlage 1a'!G12</f>
        <v>2</v>
      </c>
      <c r="H12" s="31">
        <v>0</v>
      </c>
      <c r="I12" s="609">
        <f>'Anlage 1a'!I12</f>
        <v>2</v>
      </c>
      <c r="J12" s="31">
        <v>0</v>
      </c>
      <c r="K12" s="609">
        <f>'Anlage 1a'!K12</f>
        <v>2</v>
      </c>
      <c r="L12" s="32">
        <f t="shared" si="2"/>
        <v>3</v>
      </c>
      <c r="M12" s="33">
        <f t="shared" si="2"/>
        <v>8</v>
      </c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5"/>
      <c r="AA12" s="36"/>
      <c r="AB12" s="34"/>
      <c r="AC12" s="34"/>
      <c r="AD12" s="34"/>
      <c r="AE12" s="34"/>
      <c r="AF12" s="34"/>
      <c r="AG12" s="34"/>
      <c r="AH12" s="35"/>
      <c r="AI12" s="37"/>
      <c r="AJ12" s="32">
        <f t="shared" si="5"/>
        <v>3</v>
      </c>
      <c r="AK12" s="33">
        <f t="shared" si="5"/>
        <v>8</v>
      </c>
      <c r="AL12" s="27"/>
    </row>
    <row r="13" spans="1:39" ht="15.75" x14ac:dyDescent="0.25">
      <c r="A13" s="27" t="s">
        <v>29</v>
      </c>
      <c r="B13" s="28"/>
      <c r="C13" s="72"/>
      <c r="D13" s="30">
        <v>0</v>
      </c>
      <c r="E13" s="608">
        <f>'Anlage 1a'!E13</f>
        <v>3</v>
      </c>
      <c r="F13" s="31">
        <v>0</v>
      </c>
      <c r="G13" s="609">
        <f>'Anlage 1a'!G13</f>
        <v>3</v>
      </c>
      <c r="H13" s="31">
        <v>0</v>
      </c>
      <c r="I13" s="609">
        <f>'Anlage 1a'!I13</f>
        <v>3</v>
      </c>
      <c r="J13" s="31">
        <v>0</v>
      </c>
      <c r="K13" s="609">
        <f>'Anlage 1a'!K13</f>
        <v>3</v>
      </c>
      <c r="L13" s="32">
        <f t="shared" si="2"/>
        <v>0</v>
      </c>
      <c r="M13" s="33">
        <f t="shared" si="2"/>
        <v>12</v>
      </c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5"/>
      <c r="AA13" s="36"/>
      <c r="AB13" s="34"/>
      <c r="AC13" s="34"/>
      <c r="AD13" s="34"/>
      <c r="AE13" s="34"/>
      <c r="AF13" s="34"/>
      <c r="AG13" s="34"/>
      <c r="AH13" s="35"/>
      <c r="AI13" s="37"/>
      <c r="AJ13" s="32">
        <f t="shared" si="5"/>
        <v>0</v>
      </c>
      <c r="AK13" s="33">
        <f t="shared" si="5"/>
        <v>12</v>
      </c>
      <c r="AL13" s="27"/>
    </row>
    <row r="14" spans="1:39" ht="15.75" x14ac:dyDescent="0.25">
      <c r="A14" s="27" t="s">
        <v>58</v>
      </c>
      <c r="B14" s="28"/>
      <c r="C14" s="72"/>
      <c r="D14" s="30">
        <v>0</v>
      </c>
      <c r="E14" s="608">
        <f>'Anlage 1a'!E14</f>
        <v>3</v>
      </c>
      <c r="F14" s="31">
        <v>0</v>
      </c>
      <c r="G14" s="609">
        <f>'Anlage 1a'!G14</f>
        <v>2</v>
      </c>
      <c r="H14" s="31">
        <v>0</v>
      </c>
      <c r="I14" s="609">
        <f>'Anlage 1a'!I14</f>
        <v>3</v>
      </c>
      <c r="J14" s="31">
        <v>0</v>
      </c>
      <c r="K14" s="609">
        <f>'Anlage 1a'!K14</f>
        <v>2</v>
      </c>
      <c r="L14" s="32">
        <f t="shared" si="2"/>
        <v>0</v>
      </c>
      <c r="M14" s="33">
        <f t="shared" si="2"/>
        <v>10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5"/>
      <c r="AA14" s="36"/>
      <c r="AB14" s="34"/>
      <c r="AC14" s="34"/>
      <c r="AD14" s="34"/>
      <c r="AE14" s="34"/>
      <c r="AF14" s="34"/>
      <c r="AG14" s="34"/>
      <c r="AH14" s="35"/>
      <c r="AI14" s="37"/>
      <c r="AJ14" s="32">
        <f t="shared" si="5"/>
        <v>0</v>
      </c>
      <c r="AK14" s="33">
        <f t="shared" si="5"/>
        <v>10</v>
      </c>
      <c r="AL14" s="27"/>
    </row>
    <row r="15" spans="1:39" ht="16.5" thickBot="1" x14ac:dyDescent="0.3">
      <c r="A15" s="38" t="s">
        <v>292</v>
      </c>
      <c r="B15" s="73"/>
      <c r="C15" s="40"/>
      <c r="D15" s="74">
        <v>8</v>
      </c>
      <c r="E15" s="608">
        <f>'Anlage 1a'!E15</f>
        <v>3</v>
      </c>
      <c r="F15" s="42">
        <v>11</v>
      </c>
      <c r="G15" s="609">
        <f>'Anlage 1a'!G15</f>
        <v>3</v>
      </c>
      <c r="H15" s="42">
        <v>2</v>
      </c>
      <c r="I15" s="609">
        <f>'Anlage 1a'!I15</f>
        <v>3</v>
      </c>
      <c r="J15" s="42">
        <v>2</v>
      </c>
      <c r="K15" s="609">
        <f>'Anlage 1a'!K15</f>
        <v>3</v>
      </c>
      <c r="L15" s="43">
        <f t="shared" si="2"/>
        <v>23</v>
      </c>
      <c r="M15" s="44">
        <f t="shared" si="2"/>
        <v>12</v>
      </c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6"/>
      <c r="AA15" s="47"/>
      <c r="AB15" s="45"/>
      <c r="AC15" s="45"/>
      <c r="AD15" s="45"/>
      <c r="AE15" s="45"/>
      <c r="AF15" s="45"/>
      <c r="AG15" s="48"/>
      <c r="AH15" s="46"/>
      <c r="AI15" s="49"/>
      <c r="AJ15" s="43">
        <f t="shared" si="5"/>
        <v>23</v>
      </c>
      <c r="AK15" s="44">
        <f t="shared" si="5"/>
        <v>12</v>
      </c>
      <c r="AL15" s="38"/>
    </row>
    <row r="16" spans="1:39" ht="16.5" thickBot="1" x14ac:dyDescent="0.3">
      <c r="A16" s="50" t="s">
        <v>30</v>
      </c>
      <c r="B16" s="51"/>
      <c r="C16" s="52"/>
      <c r="D16" s="53">
        <f>SUM(D10,D11,D12,D13,D14,D15)</f>
        <v>15</v>
      </c>
      <c r="E16" s="54">
        <f t="shared" ref="E16:AK16" si="6">SUM(E10,E11,E12,E13,E14,E15)</f>
        <v>14</v>
      </c>
      <c r="F16" s="54">
        <f t="shared" si="6"/>
        <v>29</v>
      </c>
      <c r="G16" s="54">
        <f t="shared" si="6"/>
        <v>13</v>
      </c>
      <c r="H16" s="54">
        <f t="shared" si="6"/>
        <v>6</v>
      </c>
      <c r="I16" s="54">
        <f t="shared" si="6"/>
        <v>14</v>
      </c>
      <c r="J16" s="54">
        <f t="shared" si="6"/>
        <v>6</v>
      </c>
      <c r="K16" s="54">
        <f t="shared" si="6"/>
        <v>13</v>
      </c>
      <c r="L16" s="55">
        <f t="shared" si="6"/>
        <v>56</v>
      </c>
      <c r="M16" s="56">
        <f t="shared" si="6"/>
        <v>54</v>
      </c>
      <c r="N16" s="57">
        <f t="shared" si="6"/>
        <v>0</v>
      </c>
      <c r="O16" s="57">
        <f t="shared" si="6"/>
        <v>0</v>
      </c>
      <c r="P16" s="57">
        <f t="shared" si="6"/>
        <v>0</v>
      </c>
      <c r="Q16" s="57">
        <f t="shared" si="6"/>
        <v>0</v>
      </c>
      <c r="R16" s="57">
        <f t="shared" si="6"/>
        <v>0</v>
      </c>
      <c r="S16" s="57">
        <f t="shared" si="6"/>
        <v>0</v>
      </c>
      <c r="T16" s="57">
        <f t="shared" si="6"/>
        <v>0</v>
      </c>
      <c r="U16" s="57">
        <f t="shared" si="6"/>
        <v>0</v>
      </c>
      <c r="V16" s="57">
        <f t="shared" si="6"/>
        <v>0</v>
      </c>
      <c r="W16" s="57">
        <f t="shared" si="6"/>
        <v>0</v>
      </c>
      <c r="X16" s="57">
        <f t="shared" si="6"/>
        <v>0</v>
      </c>
      <c r="Y16" s="57">
        <f t="shared" si="6"/>
        <v>0</v>
      </c>
      <c r="Z16" s="58"/>
      <c r="AA16" s="59"/>
      <c r="AB16" s="57"/>
      <c r="AC16" s="57"/>
      <c r="AD16" s="57"/>
      <c r="AE16" s="57"/>
      <c r="AF16" s="57"/>
      <c r="AG16" s="57"/>
      <c r="AH16" s="58"/>
      <c r="AI16" s="60"/>
      <c r="AJ16" s="55">
        <f t="shared" si="6"/>
        <v>56</v>
      </c>
      <c r="AK16" s="56">
        <f t="shared" si="6"/>
        <v>54</v>
      </c>
      <c r="AL16" s="50"/>
    </row>
    <row r="17" spans="1:38" ht="15.75" x14ac:dyDescent="0.25">
      <c r="A17" s="61" t="s">
        <v>317</v>
      </c>
      <c r="B17" s="62"/>
      <c r="C17" s="63"/>
      <c r="D17" s="64">
        <v>3</v>
      </c>
      <c r="E17" s="608">
        <f>'Anlage 1a'!E17</f>
        <v>1</v>
      </c>
      <c r="F17" s="65">
        <v>1</v>
      </c>
      <c r="G17" s="609">
        <f>'Anlage 1a'!G17</f>
        <v>1</v>
      </c>
      <c r="H17" s="65">
        <v>0</v>
      </c>
      <c r="I17" s="609">
        <f>'Anlage 1a'!I17</f>
        <v>2</v>
      </c>
      <c r="J17" s="65">
        <v>1</v>
      </c>
      <c r="K17" s="609">
        <f>'Anlage 1a'!K17</f>
        <v>1</v>
      </c>
      <c r="L17" s="66">
        <f t="shared" si="2"/>
        <v>5</v>
      </c>
      <c r="M17" s="67">
        <f t="shared" si="2"/>
        <v>5</v>
      </c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71"/>
      <c r="Z17" s="99"/>
      <c r="AA17" s="100"/>
      <c r="AB17" s="99"/>
      <c r="AC17" s="619"/>
      <c r="AD17" s="619"/>
      <c r="AE17" s="619"/>
      <c r="AF17" s="619"/>
      <c r="AG17" s="100"/>
      <c r="AH17" s="99"/>
      <c r="AI17" s="100"/>
      <c r="AJ17" s="110">
        <f t="shared" ref="AJ17:AK21" si="7">SUM(L17,Z17,AH17)</f>
        <v>5</v>
      </c>
      <c r="AK17" s="67">
        <f t="shared" si="7"/>
        <v>5</v>
      </c>
      <c r="AL17" s="61"/>
    </row>
    <row r="18" spans="1:38" ht="15.75" x14ac:dyDescent="0.25">
      <c r="A18" s="27" t="s">
        <v>316</v>
      </c>
      <c r="B18" s="28"/>
      <c r="C18" s="72"/>
      <c r="D18" s="30">
        <v>3</v>
      </c>
      <c r="E18" s="608">
        <f>'Anlage 1a'!E18</f>
        <v>2</v>
      </c>
      <c r="F18" s="31">
        <v>1</v>
      </c>
      <c r="G18" s="609">
        <f>'Anlage 1a'!G18</f>
        <v>2</v>
      </c>
      <c r="H18" s="31">
        <v>2</v>
      </c>
      <c r="I18" s="609">
        <f>'Anlage 1a'!I18</f>
        <v>2</v>
      </c>
      <c r="J18" s="31">
        <v>0</v>
      </c>
      <c r="K18" s="609">
        <f>'Anlage 1a'!K18</f>
        <v>2</v>
      </c>
      <c r="L18" s="32">
        <f t="shared" si="2"/>
        <v>6</v>
      </c>
      <c r="M18" s="33">
        <f t="shared" si="2"/>
        <v>8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7"/>
      <c r="Z18" s="35"/>
      <c r="AA18" s="36"/>
      <c r="AB18" s="35"/>
      <c r="AC18" s="34"/>
      <c r="AD18" s="34"/>
      <c r="AE18" s="34"/>
      <c r="AF18" s="34"/>
      <c r="AG18" s="36"/>
      <c r="AH18" s="35"/>
      <c r="AI18" s="36"/>
      <c r="AJ18" s="612">
        <f t="shared" si="7"/>
        <v>6</v>
      </c>
      <c r="AK18" s="33">
        <f t="shared" si="7"/>
        <v>8</v>
      </c>
      <c r="AL18" s="27"/>
    </row>
    <row r="19" spans="1:38" ht="15.75" x14ac:dyDescent="0.25">
      <c r="A19" s="27" t="s">
        <v>289</v>
      </c>
      <c r="B19" s="28"/>
      <c r="C19" s="72"/>
      <c r="D19" s="74">
        <v>1</v>
      </c>
      <c r="E19" s="608">
        <f>'Anlage 1a'!E19</f>
        <v>2</v>
      </c>
      <c r="F19" s="42">
        <v>2</v>
      </c>
      <c r="G19" s="609">
        <f>'Anlage 1a'!G19</f>
        <v>2</v>
      </c>
      <c r="H19" s="42">
        <v>3</v>
      </c>
      <c r="I19" s="609">
        <f>'Anlage 1a'!I19</f>
        <v>2</v>
      </c>
      <c r="J19" s="42">
        <v>6</v>
      </c>
      <c r="K19" s="609">
        <f>'Anlage 1a'!K19</f>
        <v>2</v>
      </c>
      <c r="L19" s="32">
        <f t="shared" si="2"/>
        <v>12</v>
      </c>
      <c r="M19" s="33">
        <f t="shared" si="2"/>
        <v>8</v>
      </c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7"/>
      <c r="Z19" s="35"/>
      <c r="AA19" s="36"/>
      <c r="AB19" s="35"/>
      <c r="AC19" s="34"/>
      <c r="AD19" s="34"/>
      <c r="AE19" s="34"/>
      <c r="AF19" s="34"/>
      <c r="AG19" s="36"/>
      <c r="AH19" s="35"/>
      <c r="AI19" s="36"/>
      <c r="AJ19" s="612">
        <f t="shared" si="7"/>
        <v>12</v>
      </c>
      <c r="AK19" s="33">
        <f t="shared" si="7"/>
        <v>8</v>
      </c>
      <c r="AL19" s="27"/>
    </row>
    <row r="20" spans="1:38" ht="15.75" x14ac:dyDescent="0.25">
      <c r="A20" s="27" t="s">
        <v>290</v>
      </c>
      <c r="B20" s="28"/>
      <c r="C20" s="72"/>
      <c r="D20" s="30">
        <v>0</v>
      </c>
      <c r="E20" s="608">
        <f>'Anlage 1a'!E20</f>
        <v>1</v>
      </c>
      <c r="F20" s="31">
        <v>3</v>
      </c>
      <c r="G20" s="609">
        <f>'Anlage 1a'!G20</f>
        <v>1</v>
      </c>
      <c r="H20" s="31">
        <v>4</v>
      </c>
      <c r="I20" s="609">
        <f>'Anlage 1a'!I20</f>
        <v>1</v>
      </c>
      <c r="J20" s="31">
        <v>1</v>
      </c>
      <c r="K20" s="609">
        <f>'Anlage 1a'!K20</f>
        <v>1</v>
      </c>
      <c r="L20" s="32">
        <f t="shared" si="2"/>
        <v>8</v>
      </c>
      <c r="M20" s="33">
        <f t="shared" si="2"/>
        <v>4</v>
      </c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614"/>
      <c r="Z20" s="615"/>
      <c r="AA20" s="616"/>
      <c r="AB20" s="620"/>
      <c r="AC20" s="613"/>
      <c r="AD20" s="613"/>
      <c r="AE20" s="34"/>
      <c r="AF20" s="34"/>
      <c r="AG20" s="36"/>
      <c r="AH20" s="35"/>
      <c r="AI20" s="36"/>
      <c r="AJ20" s="612">
        <f>SUM(L20,Z20,AH20)</f>
        <v>8</v>
      </c>
      <c r="AK20" s="33">
        <f t="shared" si="7"/>
        <v>4</v>
      </c>
      <c r="AL20" s="27"/>
    </row>
    <row r="21" spans="1:38" ht="16.5" thickBot="1" x14ac:dyDescent="0.3">
      <c r="A21" s="38" t="s">
        <v>300</v>
      </c>
      <c r="B21" s="73"/>
      <c r="C21" s="40"/>
      <c r="D21" s="74">
        <v>0</v>
      </c>
      <c r="E21" s="608">
        <f>'Anlage 1a'!E21</f>
        <v>3</v>
      </c>
      <c r="F21" s="42">
        <v>0</v>
      </c>
      <c r="G21" s="609">
        <f>'Anlage 1a'!G21</f>
        <v>3</v>
      </c>
      <c r="H21" s="42">
        <v>0</v>
      </c>
      <c r="I21" s="609">
        <f>'Anlage 1a'!I21</f>
        <v>3</v>
      </c>
      <c r="J21" s="42">
        <v>0</v>
      </c>
      <c r="K21" s="609">
        <f>'Anlage 1a'!K21</f>
        <v>3</v>
      </c>
      <c r="L21" s="43">
        <f t="shared" si="2"/>
        <v>0</v>
      </c>
      <c r="M21" s="44">
        <f>SUM(E21,G21,I21,K21)</f>
        <v>12</v>
      </c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9"/>
      <c r="Z21" s="617"/>
      <c r="AA21" s="618"/>
      <c r="AB21" s="617"/>
      <c r="AC21" s="621"/>
      <c r="AD21" s="621"/>
      <c r="AE21" s="621"/>
      <c r="AF21" s="621"/>
      <c r="AG21" s="622"/>
      <c r="AH21" s="617"/>
      <c r="AI21" s="618"/>
      <c r="AJ21" s="623">
        <f>SUM(L21,Z21,AH21)</f>
        <v>0</v>
      </c>
      <c r="AK21" s="44">
        <f t="shared" si="7"/>
        <v>12</v>
      </c>
      <c r="AL21" s="38"/>
    </row>
    <row r="22" spans="1:38" ht="16.5" thickBot="1" x14ac:dyDescent="0.3">
      <c r="A22" s="50" t="s">
        <v>31</v>
      </c>
      <c r="B22" s="51"/>
      <c r="C22" s="52"/>
      <c r="D22" s="53">
        <f>SUM(D17:D21)</f>
        <v>7</v>
      </c>
      <c r="E22" s="53">
        <f t="shared" ref="E22:J22" si="8">SUM(E17:E21)</f>
        <v>9</v>
      </c>
      <c r="F22" s="53">
        <f t="shared" si="8"/>
        <v>7</v>
      </c>
      <c r="G22" s="53">
        <f t="shared" si="8"/>
        <v>9</v>
      </c>
      <c r="H22" s="53">
        <f t="shared" si="8"/>
        <v>9</v>
      </c>
      <c r="I22" s="53">
        <f t="shared" si="8"/>
        <v>10</v>
      </c>
      <c r="J22" s="53">
        <f t="shared" si="8"/>
        <v>8</v>
      </c>
      <c r="K22" s="54">
        <f t="shared" ref="K22:AK22" si="9">SUM(K17,K18,K19,K20,K21)</f>
        <v>9</v>
      </c>
      <c r="L22" s="55">
        <f t="shared" si="9"/>
        <v>31</v>
      </c>
      <c r="M22" s="56">
        <f t="shared" si="9"/>
        <v>37</v>
      </c>
      <c r="N22" s="57">
        <f t="shared" si="9"/>
        <v>0</v>
      </c>
      <c r="O22" s="57">
        <f t="shared" si="9"/>
        <v>0</v>
      </c>
      <c r="P22" s="57">
        <f t="shared" si="9"/>
        <v>0</v>
      </c>
      <c r="Q22" s="57">
        <f t="shared" si="9"/>
        <v>0</v>
      </c>
      <c r="R22" s="57">
        <f t="shared" si="9"/>
        <v>0</v>
      </c>
      <c r="S22" s="57">
        <f t="shared" si="9"/>
        <v>0</v>
      </c>
      <c r="T22" s="57">
        <f t="shared" si="9"/>
        <v>0</v>
      </c>
      <c r="U22" s="57">
        <f t="shared" si="9"/>
        <v>0</v>
      </c>
      <c r="V22" s="57">
        <f t="shared" si="9"/>
        <v>0</v>
      </c>
      <c r="W22" s="57">
        <f t="shared" si="9"/>
        <v>0</v>
      </c>
      <c r="X22" s="57">
        <f>SUM(X17,X18,X19,X20,X21)</f>
        <v>0</v>
      </c>
      <c r="Y22" s="57">
        <f>SUM(Y17,Y18,Y19,Y20,Y21)</f>
        <v>0</v>
      </c>
      <c r="Z22" s="58"/>
      <c r="AA22" s="59"/>
      <c r="AB22" s="60"/>
      <c r="AC22" s="57"/>
      <c r="AD22" s="57"/>
      <c r="AE22" s="57"/>
      <c r="AF22" s="57"/>
      <c r="AG22" s="57"/>
      <c r="AH22" s="58"/>
      <c r="AI22" s="60"/>
      <c r="AJ22" s="55">
        <f t="shared" si="9"/>
        <v>31</v>
      </c>
      <c r="AK22" s="56">
        <f t="shared" si="9"/>
        <v>37</v>
      </c>
      <c r="AL22" s="50"/>
    </row>
    <row r="23" spans="1:38" ht="15.75" x14ac:dyDescent="0.25">
      <c r="A23" s="61" t="s">
        <v>32</v>
      </c>
      <c r="B23" s="62"/>
      <c r="C23" s="63"/>
      <c r="D23" s="64">
        <v>0</v>
      </c>
      <c r="E23" s="608">
        <f>'Anlage 1a'!E23</f>
        <v>4</v>
      </c>
      <c r="F23" s="65">
        <v>2</v>
      </c>
      <c r="G23" s="609">
        <f>'Anlage 1a'!G23</f>
        <v>4</v>
      </c>
      <c r="H23" s="65">
        <v>0</v>
      </c>
      <c r="I23" s="609">
        <f>'Anlage 1a'!I23</f>
        <v>3</v>
      </c>
      <c r="J23" s="65">
        <v>0</v>
      </c>
      <c r="K23" s="609">
        <f>'Anlage 1a'!K23</f>
        <v>4</v>
      </c>
      <c r="L23" s="66">
        <f>SUM(D23,F23,H23,J23)</f>
        <v>2</v>
      </c>
      <c r="M23" s="67">
        <f>SUM(E23,G23,I23,K23)</f>
        <v>15</v>
      </c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9"/>
      <c r="AA23" s="70"/>
      <c r="AB23" s="68"/>
      <c r="AC23" s="68"/>
      <c r="AD23" s="68"/>
      <c r="AE23" s="68"/>
      <c r="AF23" s="68"/>
      <c r="AG23" s="68"/>
      <c r="AH23" s="69"/>
      <c r="AI23" s="71"/>
      <c r="AJ23" s="66">
        <f>SUM(L23,Z23,AH23)</f>
        <v>2</v>
      </c>
      <c r="AK23" s="67">
        <f>SUM(M23,AA23,AI23)</f>
        <v>15</v>
      </c>
      <c r="AL23" s="61"/>
    </row>
    <row r="24" spans="1:38" ht="16.5" thickBot="1" x14ac:dyDescent="0.3">
      <c r="A24" s="38" t="s">
        <v>33</v>
      </c>
      <c r="B24" s="73"/>
      <c r="C24" s="40"/>
      <c r="D24" s="74">
        <v>0</v>
      </c>
      <c r="E24" s="608">
        <f>'Anlage 1a'!E24</f>
        <v>2</v>
      </c>
      <c r="F24" s="42">
        <v>1</v>
      </c>
      <c r="G24" s="609">
        <f>'Anlage 1a'!G24</f>
        <v>2</v>
      </c>
      <c r="H24" s="42">
        <v>0</v>
      </c>
      <c r="I24" s="609">
        <f>'Anlage 1a'!I24</f>
        <v>2</v>
      </c>
      <c r="J24" s="42">
        <v>0</v>
      </c>
      <c r="K24" s="609">
        <f>'Anlage 1a'!K24</f>
        <v>2</v>
      </c>
      <c r="L24" s="43">
        <f>SUM(D24,F24,H24,J24)</f>
        <v>1</v>
      </c>
      <c r="M24" s="44">
        <f>SUM(E24,G24,I24,K24)</f>
        <v>8</v>
      </c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6">
        <f>SUM(N24,P24,R24,T24,V24,X24)</f>
        <v>0</v>
      </c>
      <c r="AA24" s="47">
        <f>SUM(O24,Q24,S24,U24,W24,Y24)</f>
        <v>0</v>
      </c>
      <c r="AB24" s="45"/>
      <c r="AC24" s="45"/>
      <c r="AD24" s="45"/>
      <c r="AE24" s="45"/>
      <c r="AF24" s="45"/>
      <c r="AG24" s="48"/>
      <c r="AH24" s="46">
        <f>SUM(AB24,AD24,AF24)</f>
        <v>0</v>
      </c>
      <c r="AI24" s="49">
        <f>SUM(AC24,AE24,AG24)</f>
        <v>0</v>
      </c>
      <c r="AJ24" s="43">
        <f>SUM(L24,Z24,AH24)</f>
        <v>1</v>
      </c>
      <c r="AK24" s="44">
        <f>SUM(M24,AA24,AI24)</f>
        <v>8</v>
      </c>
      <c r="AL24" s="38"/>
    </row>
    <row r="25" spans="1:38" ht="16.5" thickBot="1" x14ac:dyDescent="0.3">
      <c r="A25" s="50" t="s">
        <v>34</v>
      </c>
      <c r="B25" s="51"/>
      <c r="C25" s="52"/>
      <c r="D25" s="53">
        <f>SUM(D23,D24)</f>
        <v>0</v>
      </c>
      <c r="E25" s="53">
        <f t="shared" ref="E25:AK25" si="10">SUM(E23,E24)</f>
        <v>6</v>
      </c>
      <c r="F25" s="53">
        <f t="shared" si="10"/>
        <v>3</v>
      </c>
      <c r="G25" s="53">
        <f t="shared" si="10"/>
        <v>6</v>
      </c>
      <c r="H25" s="53">
        <f t="shared" si="10"/>
        <v>0</v>
      </c>
      <c r="I25" s="53">
        <f t="shared" si="10"/>
        <v>5</v>
      </c>
      <c r="J25" s="53">
        <f>SUM(J23,J24)</f>
        <v>0</v>
      </c>
      <c r="K25" s="75">
        <f t="shared" si="10"/>
        <v>6</v>
      </c>
      <c r="L25" s="55">
        <f t="shared" si="10"/>
        <v>3</v>
      </c>
      <c r="M25" s="76">
        <f t="shared" si="10"/>
        <v>23</v>
      </c>
      <c r="N25" s="77">
        <f t="shared" si="10"/>
        <v>0</v>
      </c>
      <c r="O25" s="77">
        <f t="shared" si="10"/>
        <v>0</v>
      </c>
      <c r="P25" s="77">
        <f t="shared" si="10"/>
        <v>0</v>
      </c>
      <c r="Q25" s="77">
        <f t="shared" si="10"/>
        <v>0</v>
      </c>
      <c r="R25" s="77">
        <f t="shared" si="10"/>
        <v>0</v>
      </c>
      <c r="S25" s="77">
        <f t="shared" si="10"/>
        <v>0</v>
      </c>
      <c r="T25" s="77">
        <f t="shared" si="10"/>
        <v>0</v>
      </c>
      <c r="U25" s="77">
        <f t="shared" si="10"/>
        <v>0</v>
      </c>
      <c r="V25" s="77">
        <f t="shared" si="10"/>
        <v>0</v>
      </c>
      <c r="W25" s="77">
        <f t="shared" si="10"/>
        <v>0</v>
      </c>
      <c r="X25" s="77">
        <f t="shared" si="10"/>
        <v>0</v>
      </c>
      <c r="Y25" s="78">
        <f t="shared" si="10"/>
        <v>0</v>
      </c>
      <c r="Z25" s="79">
        <f t="shared" si="10"/>
        <v>0</v>
      </c>
      <c r="AA25" s="80">
        <f t="shared" si="10"/>
        <v>0</v>
      </c>
      <c r="AB25" s="77">
        <f t="shared" si="10"/>
        <v>0</v>
      </c>
      <c r="AC25" s="77">
        <f t="shared" si="10"/>
        <v>0</v>
      </c>
      <c r="AD25" s="77">
        <f t="shared" si="10"/>
        <v>0</v>
      </c>
      <c r="AE25" s="77">
        <f t="shared" si="10"/>
        <v>0</v>
      </c>
      <c r="AF25" s="77">
        <f t="shared" si="10"/>
        <v>0</v>
      </c>
      <c r="AG25" s="78">
        <f t="shared" si="10"/>
        <v>0</v>
      </c>
      <c r="AH25" s="79">
        <f t="shared" si="10"/>
        <v>0</v>
      </c>
      <c r="AI25" s="80">
        <f t="shared" si="10"/>
        <v>0</v>
      </c>
      <c r="AJ25" s="53">
        <f t="shared" si="10"/>
        <v>3</v>
      </c>
      <c r="AK25" s="53">
        <f t="shared" si="10"/>
        <v>23</v>
      </c>
      <c r="AL25" s="50"/>
    </row>
    <row r="26" spans="1:38" ht="16.5" thickBot="1" x14ac:dyDescent="0.3">
      <c r="A26" s="81" t="s">
        <v>293</v>
      </c>
      <c r="B26" s="82"/>
      <c r="C26" s="83"/>
      <c r="D26" s="84">
        <f>SUM(D25,D22,D16,D9)</f>
        <v>32</v>
      </c>
      <c r="E26" s="85">
        <f t="shared" ref="E26:AK26" si="11">SUM(E25,E22,E16,E9)</f>
        <v>37</v>
      </c>
      <c r="F26" s="85">
        <f t="shared" si="11"/>
        <v>49</v>
      </c>
      <c r="G26" s="85">
        <f t="shared" si="11"/>
        <v>35</v>
      </c>
      <c r="H26" s="85">
        <f t="shared" si="11"/>
        <v>16</v>
      </c>
      <c r="I26" s="85">
        <f t="shared" si="11"/>
        <v>37</v>
      </c>
      <c r="J26" s="85">
        <f>SUM(J25,J22,J16,J9)</f>
        <v>16</v>
      </c>
      <c r="K26" s="86">
        <f t="shared" si="11"/>
        <v>38</v>
      </c>
      <c r="L26" s="87">
        <f t="shared" si="11"/>
        <v>113</v>
      </c>
      <c r="M26" s="88">
        <f t="shared" si="11"/>
        <v>147</v>
      </c>
      <c r="N26" s="89">
        <f t="shared" si="11"/>
        <v>0</v>
      </c>
      <c r="O26" s="90">
        <f t="shared" si="11"/>
        <v>0</v>
      </c>
      <c r="P26" s="90">
        <f t="shared" si="11"/>
        <v>0</v>
      </c>
      <c r="Q26" s="90">
        <f t="shared" si="11"/>
        <v>0</v>
      </c>
      <c r="R26" s="90">
        <f t="shared" si="11"/>
        <v>0</v>
      </c>
      <c r="S26" s="90">
        <f t="shared" si="11"/>
        <v>0</v>
      </c>
      <c r="T26" s="90">
        <f t="shared" si="11"/>
        <v>0</v>
      </c>
      <c r="U26" s="90">
        <f t="shared" si="11"/>
        <v>0</v>
      </c>
      <c r="V26" s="90">
        <f t="shared" si="11"/>
        <v>0</v>
      </c>
      <c r="W26" s="90">
        <f t="shared" si="11"/>
        <v>0</v>
      </c>
      <c r="X26" s="90">
        <f>SUM(X25,X22,X16,X9)</f>
        <v>0</v>
      </c>
      <c r="Y26" s="91">
        <f>SUM(Y25,Y22,Y16,Y9)</f>
        <v>0</v>
      </c>
      <c r="Z26" s="92">
        <f>SUM(Z25,Z22,Z16,Z9)</f>
        <v>0</v>
      </c>
      <c r="AA26" s="93">
        <f t="shared" si="11"/>
        <v>0</v>
      </c>
      <c r="AB26" s="89">
        <f t="shared" si="11"/>
        <v>0</v>
      </c>
      <c r="AC26" s="90">
        <f t="shared" si="11"/>
        <v>0</v>
      </c>
      <c r="AD26" s="90">
        <f t="shared" si="11"/>
        <v>0</v>
      </c>
      <c r="AE26" s="90">
        <f t="shared" si="11"/>
        <v>0</v>
      </c>
      <c r="AF26" s="90">
        <f t="shared" si="11"/>
        <v>0</v>
      </c>
      <c r="AG26" s="90">
        <f t="shared" si="11"/>
        <v>0</v>
      </c>
      <c r="AH26" s="92">
        <f t="shared" si="11"/>
        <v>0</v>
      </c>
      <c r="AI26" s="91">
        <f t="shared" si="11"/>
        <v>0</v>
      </c>
      <c r="AJ26" s="87">
        <f t="shared" si="11"/>
        <v>113</v>
      </c>
      <c r="AK26" s="88">
        <f t="shared" si="11"/>
        <v>147</v>
      </c>
      <c r="AL26" s="81"/>
    </row>
    <row r="27" spans="1:38" ht="16.5" thickBot="1" x14ac:dyDescent="0.3">
      <c r="A27" s="27" t="s">
        <v>36</v>
      </c>
      <c r="B27" s="94"/>
      <c r="C27" s="95"/>
      <c r="D27" s="96"/>
      <c r="E27" s="34"/>
      <c r="F27" s="34"/>
      <c r="G27" s="34"/>
      <c r="H27" s="34"/>
      <c r="I27" s="34"/>
      <c r="J27" s="34"/>
      <c r="K27" s="34"/>
      <c r="L27" s="35">
        <f>SUM(D27,F27,H27,J27)</f>
        <v>0</v>
      </c>
      <c r="M27" s="36">
        <f>SUM(E27,G27,I27,K27)</f>
        <v>0</v>
      </c>
      <c r="N27" s="31">
        <v>5</v>
      </c>
      <c r="O27" s="608">
        <f>'Anlage 1a'!O27</f>
        <v>3</v>
      </c>
      <c r="P27" s="117">
        <v>7</v>
      </c>
      <c r="Q27" s="608">
        <f>'Anlage 1a'!Q27</f>
        <v>2</v>
      </c>
      <c r="R27" s="117">
        <v>1</v>
      </c>
      <c r="S27" s="608">
        <f>'Anlage 1a'!S27</f>
        <v>2</v>
      </c>
      <c r="T27" s="117">
        <v>2</v>
      </c>
      <c r="U27" s="608">
        <f>'Anlage 1a'!U27</f>
        <v>2</v>
      </c>
      <c r="V27" s="117">
        <v>0</v>
      </c>
      <c r="W27" s="608">
        <f>'Anlage 1a'!W27</f>
        <v>2</v>
      </c>
      <c r="X27" s="117">
        <v>0</v>
      </c>
      <c r="Y27" s="608">
        <f>'Anlage 1a'!Y27</f>
        <v>2</v>
      </c>
      <c r="Z27" s="97">
        <f>SUM(N27,P27,R27,T27,V27,X27)</f>
        <v>15</v>
      </c>
      <c r="AA27" s="98">
        <f>SUM(O27,Q27,S27,U27,W27,Y27)</f>
        <v>13</v>
      </c>
      <c r="AB27" s="96"/>
      <c r="AC27" s="34"/>
      <c r="AD27" s="34"/>
      <c r="AE27" s="34"/>
      <c r="AF27" s="34"/>
      <c r="AG27" s="37"/>
      <c r="AH27" s="99"/>
      <c r="AI27" s="100"/>
      <c r="AJ27" s="32">
        <f>SUM(L27,Z27,AH27)</f>
        <v>15</v>
      </c>
      <c r="AK27" s="98">
        <f>SUM(M27,AA27,AI27)</f>
        <v>13</v>
      </c>
      <c r="AL27" s="27"/>
    </row>
    <row r="28" spans="1:38" ht="16.5" thickBot="1" x14ac:dyDescent="0.3">
      <c r="A28" s="101" t="s">
        <v>38</v>
      </c>
      <c r="B28" s="102"/>
      <c r="C28" s="103"/>
      <c r="D28" s="632"/>
      <c r="E28" s="633"/>
      <c r="F28" s="633"/>
      <c r="G28" s="633"/>
      <c r="H28" s="633"/>
      <c r="I28" s="633"/>
      <c r="J28" s="633"/>
      <c r="K28" s="633"/>
      <c r="L28" s="832"/>
      <c r="M28" s="833"/>
      <c r="N28" s="54">
        <f t="shared" ref="N28:AA28" si="12">SUM(N26:N27)</f>
        <v>5</v>
      </c>
      <c r="O28" s="54">
        <f t="shared" si="12"/>
        <v>3</v>
      </c>
      <c r="P28" s="54">
        <f t="shared" si="12"/>
        <v>7</v>
      </c>
      <c r="Q28" s="54">
        <f t="shared" si="12"/>
        <v>2</v>
      </c>
      <c r="R28" s="54">
        <f t="shared" si="12"/>
        <v>1</v>
      </c>
      <c r="S28" s="54">
        <f t="shared" si="12"/>
        <v>2</v>
      </c>
      <c r="T28" s="54">
        <f t="shared" si="12"/>
        <v>2</v>
      </c>
      <c r="U28" s="54">
        <f t="shared" si="12"/>
        <v>2</v>
      </c>
      <c r="V28" s="54">
        <f t="shared" si="12"/>
        <v>0</v>
      </c>
      <c r="W28" s="54">
        <f t="shared" si="12"/>
        <v>2</v>
      </c>
      <c r="X28" s="54">
        <f t="shared" si="12"/>
        <v>0</v>
      </c>
      <c r="Y28" s="104">
        <f t="shared" si="12"/>
        <v>2</v>
      </c>
      <c r="Z28" s="55">
        <f t="shared" si="12"/>
        <v>15</v>
      </c>
      <c r="AA28" s="56">
        <f t="shared" si="12"/>
        <v>13</v>
      </c>
      <c r="AB28" s="53"/>
      <c r="AC28" s="54"/>
      <c r="AD28" s="54"/>
      <c r="AE28" s="54"/>
      <c r="AF28" s="54"/>
      <c r="AG28" s="104"/>
      <c r="AH28" s="55"/>
      <c r="AI28" s="56"/>
      <c r="AJ28" s="55">
        <f>SUM(AJ27)</f>
        <v>15</v>
      </c>
      <c r="AK28" s="56">
        <f>AK27</f>
        <v>13</v>
      </c>
      <c r="AL28" s="101"/>
    </row>
    <row r="29" spans="1:38" ht="16.5" thickBot="1" x14ac:dyDescent="0.3">
      <c r="A29" s="61" t="s">
        <v>282</v>
      </c>
      <c r="B29" s="105"/>
      <c r="C29" s="106"/>
      <c r="D29" s="107"/>
      <c r="E29" s="68"/>
      <c r="F29" s="68"/>
      <c r="G29" s="68"/>
      <c r="H29" s="68"/>
      <c r="I29" s="68"/>
      <c r="J29" s="68"/>
      <c r="K29" s="71"/>
      <c r="L29" s="99"/>
      <c r="M29" s="100"/>
      <c r="N29" s="64">
        <v>0</v>
      </c>
      <c r="O29" s="609">
        <f>'Anlage 1a'!O29</f>
        <v>4</v>
      </c>
      <c r="P29" s="610">
        <v>5</v>
      </c>
      <c r="Q29" s="609">
        <f>'Anlage 1a'!Q29</f>
        <v>4</v>
      </c>
      <c r="R29" s="610">
        <v>7</v>
      </c>
      <c r="S29" s="609">
        <f>'Anlage 1a'!S29</f>
        <v>4</v>
      </c>
      <c r="T29" s="610">
        <v>3</v>
      </c>
      <c r="U29" s="609">
        <f>'Anlage 1a'!U29</f>
        <v>4</v>
      </c>
      <c r="V29" s="610">
        <v>2</v>
      </c>
      <c r="W29" s="609">
        <f>'Anlage 1a'!W29</f>
        <v>4</v>
      </c>
      <c r="X29" s="610">
        <v>0</v>
      </c>
      <c r="Y29" s="609">
        <f>'Anlage 1a'!Y29</f>
        <v>4</v>
      </c>
      <c r="Z29" s="66">
        <f>SUM(N29,P29,R29,T29,V29,X29)</f>
        <v>17</v>
      </c>
      <c r="AA29" s="67">
        <f>SUM(O29,Q29,S29,U29,W29,Y29)</f>
        <v>24</v>
      </c>
      <c r="AB29" s="107"/>
      <c r="AC29" s="68"/>
      <c r="AD29" s="68"/>
      <c r="AE29" s="68"/>
      <c r="AF29" s="68"/>
      <c r="AG29" s="71"/>
      <c r="AH29" s="69"/>
      <c r="AI29" s="70"/>
      <c r="AJ29" s="66">
        <f>SUM(L29,Z29,AH29)</f>
        <v>17</v>
      </c>
      <c r="AK29" s="67">
        <f>SUM(M29,AA29,AI29)</f>
        <v>24</v>
      </c>
      <c r="AL29" s="61"/>
    </row>
    <row r="30" spans="1:38" ht="16.5" hidden="1" thickBot="1" x14ac:dyDescent="0.3">
      <c r="A30" s="646" t="s">
        <v>177</v>
      </c>
      <c r="B30" s="647"/>
      <c r="C30" s="648"/>
      <c r="D30" s="649"/>
      <c r="E30" s="650"/>
      <c r="F30" s="650"/>
      <c r="G30" s="650"/>
      <c r="H30" s="650"/>
      <c r="I30" s="650"/>
      <c r="J30" s="650"/>
      <c r="K30" s="651"/>
      <c r="L30" s="652"/>
      <c r="M30" s="653"/>
      <c r="N30" s="654"/>
      <c r="O30" s="639"/>
      <c r="P30" s="639"/>
      <c r="Q30" s="639"/>
      <c r="R30" s="639"/>
      <c r="S30" s="639"/>
      <c r="T30" s="639"/>
      <c r="U30" s="639"/>
      <c r="V30" s="639"/>
      <c r="W30" s="639"/>
      <c r="X30" s="639"/>
      <c r="Y30" s="639"/>
      <c r="Z30" s="655"/>
      <c r="AA30" s="656"/>
      <c r="AB30" s="649"/>
      <c r="AC30" s="650"/>
      <c r="AD30" s="650"/>
      <c r="AE30" s="650"/>
      <c r="AF30" s="650"/>
      <c r="AG30" s="651"/>
      <c r="AH30" s="652"/>
      <c r="AI30" s="653"/>
      <c r="AJ30" s="655"/>
      <c r="AK30" s="656"/>
      <c r="AL30" s="38"/>
    </row>
    <row r="31" spans="1:38" ht="16.5" thickBot="1" x14ac:dyDescent="0.3">
      <c r="A31" s="101" t="s">
        <v>55</v>
      </c>
      <c r="B31" s="102"/>
      <c r="C31" s="103"/>
      <c r="D31" s="632"/>
      <c r="E31" s="633"/>
      <c r="F31" s="633"/>
      <c r="G31" s="633"/>
      <c r="H31" s="633"/>
      <c r="I31" s="633"/>
      <c r="J31" s="633"/>
      <c r="K31" s="834"/>
      <c r="L31" s="832"/>
      <c r="M31" s="833"/>
      <c r="N31" s="53">
        <f t="shared" ref="N31:AA31" si="13">SUM(N29:N30)</f>
        <v>0</v>
      </c>
      <c r="O31" s="54">
        <f t="shared" si="13"/>
        <v>4</v>
      </c>
      <c r="P31" s="54">
        <f t="shared" si="13"/>
        <v>5</v>
      </c>
      <c r="Q31" s="54">
        <f t="shared" si="13"/>
        <v>4</v>
      </c>
      <c r="R31" s="54">
        <f t="shared" si="13"/>
        <v>7</v>
      </c>
      <c r="S31" s="54">
        <f t="shared" si="13"/>
        <v>4</v>
      </c>
      <c r="T31" s="54">
        <f t="shared" si="13"/>
        <v>3</v>
      </c>
      <c r="U31" s="54">
        <f t="shared" si="13"/>
        <v>4</v>
      </c>
      <c r="V31" s="54">
        <f t="shared" si="13"/>
        <v>2</v>
      </c>
      <c r="W31" s="54">
        <f t="shared" si="13"/>
        <v>4</v>
      </c>
      <c r="X31" s="54">
        <f t="shared" si="13"/>
        <v>0</v>
      </c>
      <c r="Y31" s="104">
        <f t="shared" si="13"/>
        <v>4</v>
      </c>
      <c r="Z31" s="55">
        <f t="shared" si="13"/>
        <v>17</v>
      </c>
      <c r="AA31" s="56">
        <f t="shared" si="13"/>
        <v>24</v>
      </c>
      <c r="AB31" s="53"/>
      <c r="AC31" s="54"/>
      <c r="AD31" s="54"/>
      <c r="AE31" s="54"/>
      <c r="AF31" s="54"/>
      <c r="AG31" s="104"/>
      <c r="AH31" s="55"/>
      <c r="AI31" s="56"/>
      <c r="AJ31" s="55">
        <f>SUM(AJ29:AJ30)</f>
        <v>17</v>
      </c>
      <c r="AK31" s="56">
        <f>SUM(AK29:AK30)</f>
        <v>24</v>
      </c>
      <c r="AL31" s="101"/>
    </row>
    <row r="32" spans="1:38" ht="15.75" x14ac:dyDescent="0.25">
      <c r="A32" s="61" t="s">
        <v>39</v>
      </c>
      <c r="B32" s="105"/>
      <c r="C32" s="106"/>
      <c r="D32" s="107"/>
      <c r="E32" s="68"/>
      <c r="F32" s="68"/>
      <c r="G32" s="68"/>
      <c r="H32" s="68"/>
      <c r="I32" s="68"/>
      <c r="J32" s="68"/>
      <c r="K32" s="71"/>
      <c r="L32" s="69">
        <f t="shared" ref="L32:M35" si="14">SUM(D32,F32,H32,J32)</f>
        <v>0</v>
      </c>
      <c r="M32" s="70">
        <f t="shared" si="14"/>
        <v>0</v>
      </c>
      <c r="N32" s="64">
        <v>2</v>
      </c>
      <c r="O32" s="609">
        <f>'Anlage 1a'!O32</f>
        <v>2</v>
      </c>
      <c r="P32" s="610">
        <v>4</v>
      </c>
      <c r="Q32" s="609">
        <f>'Anlage 1a'!Q32</f>
        <v>2</v>
      </c>
      <c r="R32" s="610">
        <v>0</v>
      </c>
      <c r="S32" s="609">
        <f>'Anlage 1a'!S32</f>
        <v>2</v>
      </c>
      <c r="T32" s="610">
        <v>6</v>
      </c>
      <c r="U32" s="609">
        <f>'Anlage 1a'!U32</f>
        <v>3</v>
      </c>
      <c r="V32" s="610">
        <v>1</v>
      </c>
      <c r="W32" s="609">
        <f>'Anlage 1a'!W32</f>
        <v>3</v>
      </c>
      <c r="X32" s="609"/>
      <c r="Y32" s="609">
        <f>'Anlage 1a'!Y32</f>
        <v>0</v>
      </c>
      <c r="Z32" s="66">
        <f t="shared" ref="Z32:AA35" si="15">SUM(N32,P32,R32,T32,V32,X32)</f>
        <v>13</v>
      </c>
      <c r="AA32" s="67">
        <f t="shared" si="15"/>
        <v>12</v>
      </c>
      <c r="AB32" s="64">
        <v>1</v>
      </c>
      <c r="AC32" s="109">
        <f>'Anlage 1a'!AC32</f>
        <v>5</v>
      </c>
      <c r="AD32" s="610">
        <v>0</v>
      </c>
      <c r="AE32" s="109">
        <f>'Anlage 1a'!AE32</f>
        <v>4</v>
      </c>
      <c r="AF32" s="610">
        <v>0</v>
      </c>
      <c r="AG32" s="109">
        <f>'Anlage 1a'!AG32</f>
        <v>4</v>
      </c>
      <c r="AH32" s="32">
        <f>SUM(AB32,AD32,AF32)</f>
        <v>1</v>
      </c>
      <c r="AI32" s="110">
        <f>'Anlage 1a'!AI32</f>
        <v>13</v>
      </c>
      <c r="AJ32" s="66">
        <f>SUM(L32,Z32,AH32)</f>
        <v>14</v>
      </c>
      <c r="AK32" s="67">
        <f>SUM(M32,AA32,AI32)</f>
        <v>25</v>
      </c>
      <c r="AL32" s="61"/>
    </row>
    <row r="33" spans="1:38" ht="15.75" x14ac:dyDescent="0.25">
      <c r="A33" s="27" t="s">
        <v>40</v>
      </c>
      <c r="B33" s="111"/>
      <c r="C33" s="112"/>
      <c r="D33" s="96"/>
      <c r="E33" s="34"/>
      <c r="F33" s="34"/>
      <c r="G33" s="34"/>
      <c r="H33" s="34"/>
      <c r="I33" s="34"/>
      <c r="J33" s="34"/>
      <c r="K33" s="37"/>
      <c r="L33" s="35">
        <f t="shared" si="14"/>
        <v>0</v>
      </c>
      <c r="M33" s="36">
        <f t="shared" si="14"/>
        <v>0</v>
      </c>
      <c r="N33" s="30">
        <v>0</v>
      </c>
      <c r="O33" s="609">
        <f>'Anlage 1a'!O33</f>
        <v>5</v>
      </c>
      <c r="P33" s="610">
        <v>0</v>
      </c>
      <c r="Q33" s="609">
        <f>'Anlage 1a'!Q33</f>
        <v>5</v>
      </c>
      <c r="R33" s="610">
        <v>0</v>
      </c>
      <c r="S33" s="609">
        <f>'Anlage 1a'!S33</f>
        <v>5</v>
      </c>
      <c r="T33" s="610">
        <v>0</v>
      </c>
      <c r="U33" s="609">
        <f>'Anlage 1a'!U33</f>
        <v>5</v>
      </c>
      <c r="V33" s="610">
        <v>0</v>
      </c>
      <c r="W33" s="609">
        <f>'Anlage 1a'!W33</f>
        <v>5</v>
      </c>
      <c r="X33" s="609"/>
      <c r="Y33" s="609">
        <f>'Anlage 1a'!Y33</f>
        <v>0</v>
      </c>
      <c r="Z33" s="66">
        <f t="shared" si="15"/>
        <v>0</v>
      </c>
      <c r="AA33" s="33">
        <f t="shared" si="15"/>
        <v>25</v>
      </c>
      <c r="AB33" s="30">
        <v>0</v>
      </c>
      <c r="AC33" s="109">
        <f>'Anlage 1a'!AC33</f>
        <v>7</v>
      </c>
      <c r="AD33" s="610">
        <v>0</v>
      </c>
      <c r="AE33" s="109">
        <f>'Anlage 1a'!AE33</f>
        <v>9</v>
      </c>
      <c r="AF33" s="610">
        <v>0</v>
      </c>
      <c r="AG33" s="109">
        <f>'Anlage 1a'!AG33</f>
        <v>7</v>
      </c>
      <c r="AH33" s="32">
        <f>SUM(AB33,AD33,AF33)</f>
        <v>0</v>
      </c>
      <c r="AI33" s="110">
        <f>'Anlage 1a'!AI33</f>
        <v>23</v>
      </c>
      <c r="AJ33" s="32">
        <f>SUM(Z33+AH33)</f>
        <v>0</v>
      </c>
      <c r="AK33" s="33">
        <f>SUM(M33,AA33,AI33)</f>
        <v>48</v>
      </c>
      <c r="AL33" s="27"/>
    </row>
    <row r="34" spans="1:38" ht="15.75" x14ac:dyDescent="0.25">
      <c r="A34" s="27" t="s">
        <v>41</v>
      </c>
      <c r="B34" s="111"/>
      <c r="C34" s="112"/>
      <c r="D34" s="96"/>
      <c r="E34" s="34"/>
      <c r="F34" s="34"/>
      <c r="G34" s="34"/>
      <c r="H34" s="34"/>
      <c r="I34" s="34"/>
      <c r="J34" s="34"/>
      <c r="K34" s="37"/>
      <c r="L34" s="35">
        <f t="shared" si="14"/>
        <v>0</v>
      </c>
      <c r="M34" s="36">
        <f t="shared" si="14"/>
        <v>0</v>
      </c>
      <c r="N34" s="30">
        <v>0</v>
      </c>
      <c r="O34" s="609">
        <f>'Anlage 1a'!O34</f>
        <v>4</v>
      </c>
      <c r="P34" s="610">
        <v>0</v>
      </c>
      <c r="Q34" s="609">
        <f>'Anlage 1a'!Q34</f>
        <v>5</v>
      </c>
      <c r="R34" s="610">
        <v>1</v>
      </c>
      <c r="S34" s="609">
        <f>'Anlage 1a'!S34</f>
        <v>4</v>
      </c>
      <c r="T34" s="610">
        <v>0</v>
      </c>
      <c r="U34" s="609">
        <f>'Anlage 1a'!U34</f>
        <v>4</v>
      </c>
      <c r="V34" s="610">
        <v>1</v>
      </c>
      <c r="W34" s="609">
        <f>'Anlage 1a'!W34</f>
        <v>4</v>
      </c>
      <c r="X34" s="609"/>
      <c r="Y34" s="609">
        <f>'Anlage 1a'!Y34</f>
        <v>0</v>
      </c>
      <c r="Z34" s="32">
        <f t="shared" si="15"/>
        <v>2</v>
      </c>
      <c r="AA34" s="33">
        <f t="shared" si="15"/>
        <v>21</v>
      </c>
      <c r="AB34" s="30">
        <v>0</v>
      </c>
      <c r="AC34" s="109">
        <f>'Anlage 1a'!AC34</f>
        <v>5</v>
      </c>
      <c r="AD34" s="610">
        <v>0</v>
      </c>
      <c r="AE34" s="109">
        <f>'Anlage 1a'!AE34</f>
        <v>5</v>
      </c>
      <c r="AF34" s="610">
        <v>0</v>
      </c>
      <c r="AG34" s="109">
        <f>'Anlage 1a'!AG34</f>
        <v>5</v>
      </c>
      <c r="AH34" s="32">
        <f>SUM(AB34,AD34,AF34)</f>
        <v>0</v>
      </c>
      <c r="AI34" s="110">
        <f>'Anlage 1a'!AI34</f>
        <v>15</v>
      </c>
      <c r="AJ34" s="32">
        <f>SUM(L34,Z34,AH34)</f>
        <v>2</v>
      </c>
      <c r="AK34" s="33">
        <f>SUM(M34,AA34,AI34)</f>
        <v>36</v>
      </c>
      <c r="AL34" s="27"/>
    </row>
    <row r="35" spans="1:38" ht="16.5" thickBot="1" x14ac:dyDescent="0.3">
      <c r="A35" s="27" t="s">
        <v>42</v>
      </c>
      <c r="B35" s="111"/>
      <c r="C35" s="112"/>
      <c r="D35" s="96"/>
      <c r="E35" s="34"/>
      <c r="F35" s="34"/>
      <c r="G35" s="34"/>
      <c r="H35" s="34"/>
      <c r="I35" s="34"/>
      <c r="J35" s="34"/>
      <c r="K35" s="37"/>
      <c r="L35" s="35">
        <f t="shared" si="14"/>
        <v>0</v>
      </c>
      <c r="M35" s="36">
        <f t="shared" si="14"/>
        <v>0</v>
      </c>
      <c r="N35" s="30">
        <v>1</v>
      </c>
      <c r="O35" s="609">
        <f>'Anlage 1a'!O35</f>
        <v>3</v>
      </c>
      <c r="P35" s="610">
        <v>0</v>
      </c>
      <c r="Q35" s="609">
        <f>'Anlage 1a'!Q35</f>
        <v>4</v>
      </c>
      <c r="R35" s="610">
        <v>0</v>
      </c>
      <c r="S35" s="609">
        <f>'Anlage 1a'!S35</f>
        <v>4</v>
      </c>
      <c r="T35" s="610">
        <v>0</v>
      </c>
      <c r="U35" s="609">
        <f>'Anlage 1a'!U35</f>
        <v>4</v>
      </c>
      <c r="V35" s="610">
        <v>0</v>
      </c>
      <c r="W35" s="609">
        <f>'Anlage 1a'!W35</f>
        <v>4</v>
      </c>
      <c r="X35" s="609"/>
      <c r="Y35" s="609">
        <f>'Anlage 1a'!Y35</f>
        <v>0</v>
      </c>
      <c r="Z35" s="113">
        <f t="shared" si="15"/>
        <v>1</v>
      </c>
      <c r="AA35" s="114">
        <f t="shared" si="15"/>
        <v>19</v>
      </c>
      <c r="AB35" s="30">
        <v>0</v>
      </c>
      <c r="AC35" s="109">
        <f>'Anlage 1a'!AC35</f>
        <v>5</v>
      </c>
      <c r="AD35" s="610">
        <v>0</v>
      </c>
      <c r="AE35" s="109">
        <f>'Anlage 1a'!AE35</f>
        <v>5</v>
      </c>
      <c r="AF35" s="610">
        <v>0</v>
      </c>
      <c r="AG35" s="109">
        <f>'Anlage 1a'!AG35</f>
        <v>4</v>
      </c>
      <c r="AH35" s="113">
        <f>SUM(AB35,AD35,AF35)</f>
        <v>0</v>
      </c>
      <c r="AI35" s="110">
        <f>'Anlage 1a'!AI35</f>
        <v>14</v>
      </c>
      <c r="AJ35" s="113">
        <f>SUM(L35,Z35,AH35)</f>
        <v>1</v>
      </c>
      <c r="AK35" s="114">
        <f>SUM(M35,AA35,AI35)</f>
        <v>33</v>
      </c>
      <c r="AL35" s="27"/>
    </row>
    <row r="36" spans="1:38" ht="16.5" thickBot="1" x14ac:dyDescent="0.3">
      <c r="A36" s="50" t="s">
        <v>43</v>
      </c>
      <c r="B36" s="115"/>
      <c r="C36" s="116"/>
      <c r="D36" s="835">
        <f t="shared" ref="D36:AK36" si="16">SUM(D32,D33,D34:D35)</f>
        <v>0</v>
      </c>
      <c r="E36" s="836">
        <f t="shared" si="16"/>
        <v>0</v>
      </c>
      <c r="F36" s="836">
        <f t="shared" si="16"/>
        <v>0</v>
      </c>
      <c r="G36" s="836">
        <f t="shared" si="16"/>
        <v>0</v>
      </c>
      <c r="H36" s="836">
        <f t="shared" si="16"/>
        <v>0</v>
      </c>
      <c r="I36" s="836">
        <f t="shared" si="16"/>
        <v>0</v>
      </c>
      <c r="J36" s="836">
        <f t="shared" si="16"/>
        <v>0</v>
      </c>
      <c r="K36" s="837">
        <f t="shared" si="16"/>
        <v>0</v>
      </c>
      <c r="L36" s="838"/>
      <c r="M36" s="839"/>
      <c r="N36" s="53">
        <f t="shared" si="16"/>
        <v>3</v>
      </c>
      <c r="O36" s="54">
        <f t="shared" si="16"/>
        <v>14</v>
      </c>
      <c r="P36" s="54">
        <f t="shared" si="16"/>
        <v>4</v>
      </c>
      <c r="Q36" s="54">
        <f t="shared" si="16"/>
        <v>16</v>
      </c>
      <c r="R36" s="54">
        <f t="shared" si="16"/>
        <v>1</v>
      </c>
      <c r="S36" s="54">
        <f t="shared" si="16"/>
        <v>15</v>
      </c>
      <c r="T36" s="54">
        <f t="shared" si="16"/>
        <v>6</v>
      </c>
      <c r="U36" s="54">
        <f t="shared" si="16"/>
        <v>16</v>
      </c>
      <c r="V36" s="54">
        <f t="shared" si="16"/>
        <v>2</v>
      </c>
      <c r="W36" s="54">
        <f t="shared" si="16"/>
        <v>16</v>
      </c>
      <c r="X36" s="54">
        <f t="shared" si="16"/>
        <v>0</v>
      </c>
      <c r="Y36" s="54">
        <f t="shared" si="16"/>
        <v>0</v>
      </c>
      <c r="Z36" s="55">
        <f t="shared" si="16"/>
        <v>16</v>
      </c>
      <c r="AA36" s="56">
        <f t="shared" si="16"/>
        <v>77</v>
      </c>
      <c r="AB36" s="54">
        <f t="shared" si="16"/>
        <v>1</v>
      </c>
      <c r="AC36" s="54">
        <f>SUM(AC32:AC35)</f>
        <v>22</v>
      </c>
      <c r="AD36" s="54">
        <f t="shared" si="16"/>
        <v>0</v>
      </c>
      <c r="AE36" s="54">
        <f>SUM(AE32:AE35)</f>
        <v>23</v>
      </c>
      <c r="AF36" s="54">
        <f t="shared" si="16"/>
        <v>0</v>
      </c>
      <c r="AG36" s="54">
        <f>SUM(AG32:AG35)</f>
        <v>20</v>
      </c>
      <c r="AH36" s="55">
        <f t="shared" si="16"/>
        <v>1</v>
      </c>
      <c r="AI36" s="104">
        <f t="shared" si="16"/>
        <v>65</v>
      </c>
      <c r="AJ36" s="55">
        <f t="shared" si="16"/>
        <v>17</v>
      </c>
      <c r="AK36" s="56">
        <f t="shared" si="16"/>
        <v>142</v>
      </c>
      <c r="AL36" s="50"/>
    </row>
    <row r="37" spans="1:38" ht="15.75" x14ac:dyDescent="0.25">
      <c r="A37" s="27" t="s">
        <v>295</v>
      </c>
      <c r="B37" s="111"/>
      <c r="C37" s="112"/>
      <c r="D37" s="96"/>
      <c r="E37" s="34"/>
      <c r="F37" s="34"/>
      <c r="G37" s="34"/>
      <c r="H37" s="34"/>
      <c r="I37" s="34"/>
      <c r="J37" s="34"/>
      <c r="K37" s="34"/>
      <c r="L37" s="35">
        <f>SUM(D37,F37,H37,J37)</f>
        <v>0</v>
      </c>
      <c r="M37" s="36">
        <f>SUM(E37,G37,I37,K37)</f>
        <v>0</v>
      </c>
      <c r="N37" s="117">
        <v>1</v>
      </c>
      <c r="O37" s="608">
        <f>'Anlage 1a'!O37</f>
        <v>5</v>
      </c>
      <c r="P37" s="117">
        <v>3</v>
      </c>
      <c r="Q37" s="608">
        <f>'Anlage 1a'!Q37</f>
        <v>5</v>
      </c>
      <c r="R37" s="117">
        <v>0</v>
      </c>
      <c r="S37" s="608">
        <f>'Anlage 1a'!S37</f>
        <v>5</v>
      </c>
      <c r="T37" s="117">
        <v>2</v>
      </c>
      <c r="U37" s="608">
        <f>'Anlage 1a'!U37</f>
        <v>5</v>
      </c>
      <c r="V37" s="117">
        <v>1</v>
      </c>
      <c r="W37" s="608">
        <f>'Anlage 1a'!W37</f>
        <v>5</v>
      </c>
      <c r="X37" s="117">
        <v>0</v>
      </c>
      <c r="Y37" s="608">
        <f>'Anlage 1a'!Y37</f>
        <v>4</v>
      </c>
      <c r="Z37" s="32">
        <f t="shared" ref="Z37:AA39" si="17">SUM(N37,P37,R37,T37,V37,X37)</f>
        <v>7</v>
      </c>
      <c r="AA37" s="33">
        <f t="shared" si="17"/>
        <v>29</v>
      </c>
      <c r="AB37" s="117">
        <v>0</v>
      </c>
      <c r="AC37" s="109">
        <f>'Anlage 1a'!AC37</f>
        <v>4</v>
      </c>
      <c r="AD37" s="610">
        <v>0</v>
      </c>
      <c r="AE37" s="109">
        <f>'Anlage 1a'!AE37</f>
        <v>2</v>
      </c>
      <c r="AF37" s="610">
        <v>0</v>
      </c>
      <c r="AG37" s="109">
        <f>'Anlage 1a'!AG37</f>
        <v>3</v>
      </c>
      <c r="AH37" s="97">
        <f>SUM(AB37,AD37,AF37)</f>
        <v>0</v>
      </c>
      <c r="AI37" s="110">
        <f>'Anlage 1a'!AI37</f>
        <v>9</v>
      </c>
      <c r="AJ37" s="32">
        <f t="shared" ref="AJ37:AK39" si="18">SUM(L37,Z37,AH37)</f>
        <v>7</v>
      </c>
      <c r="AK37" s="33">
        <f t="shared" si="18"/>
        <v>38</v>
      </c>
      <c r="AL37" s="27"/>
    </row>
    <row r="38" spans="1:38" ht="15.75" x14ac:dyDescent="0.25">
      <c r="A38" s="27" t="s">
        <v>284</v>
      </c>
      <c r="B38" s="111"/>
      <c r="C38" s="112"/>
      <c r="D38" s="96"/>
      <c r="E38" s="34"/>
      <c r="F38" s="34"/>
      <c r="G38" s="34"/>
      <c r="H38" s="34"/>
      <c r="I38" s="34"/>
      <c r="J38" s="34"/>
      <c r="K38" s="34"/>
      <c r="L38" s="35">
        <f>SUM(D38,F38,H38,J38)</f>
        <v>0</v>
      </c>
      <c r="M38" s="36">
        <f>SUM(E38,G38,I38,K38)</f>
        <v>0</v>
      </c>
      <c r="N38" s="31">
        <v>0</v>
      </c>
      <c r="O38" s="608">
        <f>'Anlage 1a'!O38</f>
        <v>5</v>
      </c>
      <c r="P38" s="117">
        <v>0</v>
      </c>
      <c r="Q38" s="608">
        <f>'Anlage 1a'!Q38</f>
        <v>4</v>
      </c>
      <c r="R38" s="117">
        <v>2</v>
      </c>
      <c r="S38" s="608">
        <f>'Anlage 1a'!S38</f>
        <v>4</v>
      </c>
      <c r="T38" s="117">
        <v>1</v>
      </c>
      <c r="U38" s="608">
        <f>'Anlage 1a'!U38</f>
        <v>5</v>
      </c>
      <c r="V38" s="117">
        <v>0</v>
      </c>
      <c r="W38" s="608">
        <f>'Anlage 1a'!W38</f>
        <v>5</v>
      </c>
      <c r="X38" s="117">
        <v>0</v>
      </c>
      <c r="Y38" s="608">
        <f>'Anlage 1a'!Y38</f>
        <v>5</v>
      </c>
      <c r="Z38" s="32">
        <f t="shared" si="17"/>
        <v>3</v>
      </c>
      <c r="AA38" s="33">
        <f t="shared" si="17"/>
        <v>28</v>
      </c>
      <c r="AB38" s="31">
        <v>0</v>
      </c>
      <c r="AC38" s="109">
        <f>'Anlage 1a'!AC38</f>
        <v>3</v>
      </c>
      <c r="AD38" s="610">
        <v>0</v>
      </c>
      <c r="AE38" s="109">
        <f>'Anlage 1a'!AE38</f>
        <v>3</v>
      </c>
      <c r="AF38" s="610">
        <v>0</v>
      </c>
      <c r="AG38" s="109">
        <f>'Anlage 1a'!AG38</f>
        <v>3</v>
      </c>
      <c r="AH38" s="32">
        <f>SUM(AB38,AD38,AF38)</f>
        <v>0</v>
      </c>
      <c r="AI38" s="110">
        <f>'Anlage 1a'!AI38</f>
        <v>9</v>
      </c>
      <c r="AJ38" s="32">
        <f t="shared" si="18"/>
        <v>3</v>
      </c>
      <c r="AK38" s="33">
        <f t="shared" si="18"/>
        <v>37</v>
      </c>
      <c r="AL38" s="27"/>
    </row>
    <row r="39" spans="1:38" ht="16.5" thickBot="1" x14ac:dyDescent="0.3">
      <c r="A39" s="27" t="s">
        <v>296</v>
      </c>
      <c r="B39" s="111"/>
      <c r="C39" s="112"/>
      <c r="D39" s="96"/>
      <c r="E39" s="34"/>
      <c r="F39" s="34"/>
      <c r="G39" s="34"/>
      <c r="H39" s="34"/>
      <c r="I39" s="34"/>
      <c r="J39" s="34"/>
      <c r="K39" s="34"/>
      <c r="L39" s="35">
        <f>SUM(D39,F39,H39,J39)</f>
        <v>0</v>
      </c>
      <c r="M39" s="36">
        <v>0</v>
      </c>
      <c r="N39" s="31">
        <v>0</v>
      </c>
      <c r="O39" s="608">
        <f>'Anlage 1a'!O39</f>
        <v>4</v>
      </c>
      <c r="P39" s="117">
        <v>0</v>
      </c>
      <c r="Q39" s="608">
        <f>'Anlage 1a'!Q39</f>
        <v>4</v>
      </c>
      <c r="R39" s="117">
        <v>0</v>
      </c>
      <c r="S39" s="608">
        <f>'Anlage 1a'!S39</f>
        <v>4</v>
      </c>
      <c r="T39" s="117">
        <v>0</v>
      </c>
      <c r="U39" s="608">
        <f>'Anlage 1a'!U39</f>
        <v>4</v>
      </c>
      <c r="V39" s="117">
        <v>0</v>
      </c>
      <c r="W39" s="608">
        <f>'Anlage 1a'!W39</f>
        <v>4</v>
      </c>
      <c r="X39" s="117">
        <v>0</v>
      </c>
      <c r="Y39" s="608">
        <f>'Anlage 1a'!Y39</f>
        <v>4</v>
      </c>
      <c r="Z39" s="32">
        <f t="shared" si="17"/>
        <v>0</v>
      </c>
      <c r="AA39" s="33">
        <f t="shared" si="17"/>
        <v>24</v>
      </c>
      <c r="AB39" s="31">
        <v>0</v>
      </c>
      <c r="AC39" s="109">
        <f>'Anlage 1a'!AC39</f>
        <v>5</v>
      </c>
      <c r="AD39" s="610">
        <v>0</v>
      </c>
      <c r="AE39" s="109">
        <f>'Anlage 1a'!AE39</f>
        <v>5</v>
      </c>
      <c r="AF39" s="610">
        <v>0</v>
      </c>
      <c r="AG39" s="109">
        <f>'Anlage 1a'!AG39</f>
        <v>4</v>
      </c>
      <c r="AH39" s="113">
        <f>SUM(AB39,AD39,AF39)</f>
        <v>0</v>
      </c>
      <c r="AI39" s="110">
        <f>'Anlage 1a'!AI39</f>
        <v>14</v>
      </c>
      <c r="AJ39" s="32">
        <f t="shared" si="18"/>
        <v>0</v>
      </c>
      <c r="AK39" s="33">
        <f t="shared" si="18"/>
        <v>38</v>
      </c>
      <c r="AL39" s="27"/>
    </row>
    <row r="40" spans="1:38" ht="16.5" thickBot="1" x14ac:dyDescent="0.3">
      <c r="A40" s="50" t="s">
        <v>46</v>
      </c>
      <c r="B40" s="115"/>
      <c r="C40" s="116"/>
      <c r="D40" s="835"/>
      <c r="E40" s="836">
        <f t="shared" ref="E40:AK40" si="19">SUM(E37:E39)</f>
        <v>0</v>
      </c>
      <c r="F40" s="836">
        <f t="shared" si="19"/>
        <v>0</v>
      </c>
      <c r="G40" s="836">
        <f t="shared" si="19"/>
        <v>0</v>
      </c>
      <c r="H40" s="836">
        <f t="shared" si="19"/>
        <v>0</v>
      </c>
      <c r="I40" s="836">
        <f t="shared" si="19"/>
        <v>0</v>
      </c>
      <c r="J40" s="836">
        <f t="shared" si="19"/>
        <v>0</v>
      </c>
      <c r="K40" s="836">
        <f t="shared" si="19"/>
        <v>0</v>
      </c>
      <c r="L40" s="838">
        <f t="shared" si="19"/>
        <v>0</v>
      </c>
      <c r="M40" s="839">
        <f t="shared" si="19"/>
        <v>0</v>
      </c>
      <c r="N40" s="54">
        <f t="shared" si="19"/>
        <v>1</v>
      </c>
      <c r="O40" s="54">
        <f t="shared" si="19"/>
        <v>14</v>
      </c>
      <c r="P40" s="54">
        <f t="shared" si="19"/>
        <v>3</v>
      </c>
      <c r="Q40" s="54">
        <f t="shared" si="19"/>
        <v>13</v>
      </c>
      <c r="R40" s="54">
        <f t="shared" si="19"/>
        <v>2</v>
      </c>
      <c r="S40" s="54">
        <f t="shared" si="19"/>
        <v>13</v>
      </c>
      <c r="T40" s="54">
        <f t="shared" si="19"/>
        <v>3</v>
      </c>
      <c r="U40" s="54">
        <f t="shared" si="19"/>
        <v>14</v>
      </c>
      <c r="V40" s="54">
        <f t="shared" si="19"/>
        <v>1</v>
      </c>
      <c r="W40" s="54">
        <f t="shared" si="19"/>
        <v>14</v>
      </c>
      <c r="X40" s="54">
        <f t="shared" si="19"/>
        <v>0</v>
      </c>
      <c r="Y40" s="54">
        <f t="shared" si="19"/>
        <v>13</v>
      </c>
      <c r="Z40" s="55">
        <f t="shared" si="19"/>
        <v>10</v>
      </c>
      <c r="AA40" s="56">
        <f t="shared" si="19"/>
        <v>81</v>
      </c>
      <c r="AB40" s="54">
        <f t="shared" si="19"/>
        <v>0</v>
      </c>
      <c r="AC40" s="54">
        <f>SUM(AC37:AC39)</f>
        <v>12</v>
      </c>
      <c r="AD40" s="54">
        <f t="shared" si="19"/>
        <v>0</v>
      </c>
      <c r="AE40" s="54">
        <f>SUM(AE37:AE39)</f>
        <v>10</v>
      </c>
      <c r="AF40" s="54">
        <f t="shared" si="19"/>
        <v>0</v>
      </c>
      <c r="AG40" s="54">
        <f>SUM(AG37:AG39)</f>
        <v>10</v>
      </c>
      <c r="AH40" s="55">
        <f t="shared" si="19"/>
        <v>0</v>
      </c>
      <c r="AI40" s="104">
        <f t="shared" si="19"/>
        <v>32</v>
      </c>
      <c r="AJ40" s="55">
        <f t="shared" si="19"/>
        <v>10</v>
      </c>
      <c r="AK40" s="56">
        <f t="shared" si="19"/>
        <v>113</v>
      </c>
      <c r="AL40" s="50"/>
    </row>
    <row r="41" spans="1:38" ht="16.5" thickBot="1" x14ac:dyDescent="0.3">
      <c r="A41" s="81" t="s">
        <v>47</v>
      </c>
      <c r="B41" s="82"/>
      <c r="C41" s="118"/>
      <c r="D41" s="89">
        <f t="shared" ref="D41:AB41" si="20">SUM(D28,D31,D36,D40)</f>
        <v>0</v>
      </c>
      <c r="E41" s="90">
        <f t="shared" si="20"/>
        <v>0</v>
      </c>
      <c r="F41" s="90">
        <f t="shared" si="20"/>
        <v>0</v>
      </c>
      <c r="G41" s="90">
        <f t="shared" si="20"/>
        <v>0</v>
      </c>
      <c r="H41" s="90">
        <f t="shared" si="20"/>
        <v>0</v>
      </c>
      <c r="I41" s="90">
        <f t="shared" si="20"/>
        <v>0</v>
      </c>
      <c r="J41" s="90">
        <f t="shared" si="20"/>
        <v>0</v>
      </c>
      <c r="K41" s="90">
        <f t="shared" si="20"/>
        <v>0</v>
      </c>
      <c r="L41" s="92">
        <f t="shared" si="20"/>
        <v>0</v>
      </c>
      <c r="M41" s="93">
        <f t="shared" si="20"/>
        <v>0</v>
      </c>
      <c r="N41" s="85">
        <f t="shared" si="20"/>
        <v>9</v>
      </c>
      <c r="O41" s="85">
        <f t="shared" si="20"/>
        <v>35</v>
      </c>
      <c r="P41" s="85">
        <f t="shared" si="20"/>
        <v>19</v>
      </c>
      <c r="Q41" s="85">
        <f t="shared" si="20"/>
        <v>35</v>
      </c>
      <c r="R41" s="85">
        <f t="shared" si="20"/>
        <v>11</v>
      </c>
      <c r="S41" s="85">
        <f t="shared" si="20"/>
        <v>34</v>
      </c>
      <c r="T41" s="85">
        <f t="shared" si="20"/>
        <v>14</v>
      </c>
      <c r="U41" s="85">
        <f t="shared" si="20"/>
        <v>36</v>
      </c>
      <c r="V41" s="85">
        <f t="shared" si="20"/>
        <v>5</v>
      </c>
      <c r="W41" s="85">
        <f t="shared" si="20"/>
        <v>36</v>
      </c>
      <c r="X41" s="85">
        <f t="shared" si="20"/>
        <v>0</v>
      </c>
      <c r="Y41" s="85">
        <f t="shared" si="20"/>
        <v>19</v>
      </c>
      <c r="Z41" s="87">
        <f t="shared" si="20"/>
        <v>58</v>
      </c>
      <c r="AA41" s="88">
        <f t="shared" si="20"/>
        <v>195</v>
      </c>
      <c r="AB41" s="85">
        <f t="shared" si="20"/>
        <v>1</v>
      </c>
      <c r="AC41" s="85">
        <f>SUM(AC40,AC36,AC31,AC28)</f>
        <v>34</v>
      </c>
      <c r="AD41" s="85">
        <f>SUM(AD28,AD31,AD36,AD40)</f>
        <v>0</v>
      </c>
      <c r="AE41" s="85">
        <f>SUM(AE40,AE36,AE31,AE28)</f>
        <v>33</v>
      </c>
      <c r="AF41" s="85">
        <f>SUM(AF28,AF31,AF36,AF40)</f>
        <v>0</v>
      </c>
      <c r="AG41" s="85">
        <f>SUM(AG40,AG36,AG31,AG28)</f>
        <v>30</v>
      </c>
      <c r="AH41" s="87">
        <f>SUM(AH28,AH31,AH36,AH40)</f>
        <v>1</v>
      </c>
      <c r="AI41" s="86">
        <f>SUM(AI28,AI31,AI36,AI40)</f>
        <v>97</v>
      </c>
      <c r="AJ41" s="87">
        <f>SUM(AJ28,AJ31,AJ36,AJ40)</f>
        <v>59</v>
      </c>
      <c r="AK41" s="88">
        <f>AK28+AK31+AK36+AK40</f>
        <v>292</v>
      </c>
      <c r="AL41" s="81"/>
    </row>
    <row r="42" spans="1:38" ht="16.5" thickBot="1" x14ac:dyDescent="0.3">
      <c r="A42" s="81" t="s">
        <v>48</v>
      </c>
      <c r="B42" s="87" t="e">
        <f>SUM(B26,B41,#REF!)</f>
        <v>#REF!</v>
      </c>
      <c r="C42" s="88" t="e">
        <f>SUM(C26,C41,#REF!)</f>
        <v>#REF!</v>
      </c>
      <c r="D42" s="84">
        <f>SUM(D26,D41)</f>
        <v>32</v>
      </c>
      <c r="E42" s="84">
        <f t="shared" ref="E42:AK42" si="21">SUM(E26,E41)</f>
        <v>37</v>
      </c>
      <c r="F42" s="84">
        <f t="shared" si="21"/>
        <v>49</v>
      </c>
      <c r="G42" s="84">
        <f t="shared" si="21"/>
        <v>35</v>
      </c>
      <c r="H42" s="84">
        <f t="shared" si="21"/>
        <v>16</v>
      </c>
      <c r="I42" s="84">
        <f t="shared" si="21"/>
        <v>37</v>
      </c>
      <c r="J42" s="84">
        <f t="shared" si="21"/>
        <v>16</v>
      </c>
      <c r="K42" s="84">
        <f t="shared" si="21"/>
        <v>38</v>
      </c>
      <c r="L42" s="84">
        <f t="shared" si="21"/>
        <v>113</v>
      </c>
      <c r="M42" s="84">
        <f t="shared" si="21"/>
        <v>147</v>
      </c>
      <c r="N42" s="84">
        <f t="shared" si="21"/>
        <v>9</v>
      </c>
      <c r="O42" s="84">
        <f t="shared" si="21"/>
        <v>35</v>
      </c>
      <c r="P42" s="84">
        <f t="shared" si="21"/>
        <v>19</v>
      </c>
      <c r="Q42" s="84">
        <f t="shared" si="21"/>
        <v>35</v>
      </c>
      <c r="R42" s="84">
        <f t="shared" si="21"/>
        <v>11</v>
      </c>
      <c r="S42" s="84">
        <f t="shared" si="21"/>
        <v>34</v>
      </c>
      <c r="T42" s="84">
        <f t="shared" si="21"/>
        <v>14</v>
      </c>
      <c r="U42" s="84">
        <f t="shared" si="21"/>
        <v>36</v>
      </c>
      <c r="V42" s="84">
        <f t="shared" si="21"/>
        <v>5</v>
      </c>
      <c r="W42" s="84">
        <f t="shared" si="21"/>
        <v>36</v>
      </c>
      <c r="X42" s="84">
        <f t="shared" si="21"/>
        <v>0</v>
      </c>
      <c r="Y42" s="84">
        <f t="shared" si="21"/>
        <v>19</v>
      </c>
      <c r="Z42" s="84">
        <f t="shared" si="21"/>
        <v>58</v>
      </c>
      <c r="AA42" s="84">
        <f t="shared" si="21"/>
        <v>195</v>
      </c>
      <c r="AB42" s="84">
        <f t="shared" si="21"/>
        <v>1</v>
      </c>
      <c r="AC42" s="84">
        <f t="shared" si="21"/>
        <v>34</v>
      </c>
      <c r="AD42" s="84">
        <f t="shared" si="21"/>
        <v>0</v>
      </c>
      <c r="AE42" s="84">
        <f t="shared" si="21"/>
        <v>33</v>
      </c>
      <c r="AF42" s="84">
        <f t="shared" si="21"/>
        <v>0</v>
      </c>
      <c r="AG42" s="84">
        <f t="shared" si="21"/>
        <v>30</v>
      </c>
      <c r="AH42" s="84">
        <f t="shared" si="21"/>
        <v>1</v>
      </c>
      <c r="AI42" s="84">
        <f t="shared" si="21"/>
        <v>97</v>
      </c>
      <c r="AJ42" s="84">
        <f t="shared" si="21"/>
        <v>172</v>
      </c>
      <c r="AK42" s="624">
        <f t="shared" si="21"/>
        <v>439</v>
      </c>
      <c r="AL42" s="119"/>
    </row>
    <row r="44" spans="1:38" x14ac:dyDescent="0.2">
      <c r="A44" s="611" t="s">
        <v>204</v>
      </c>
    </row>
  </sheetData>
  <mergeCells count="2">
    <mergeCell ref="B3:C3"/>
    <mergeCell ref="A3:A4"/>
  </mergeCells>
  <hyperlinks>
    <hyperlink ref="A44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69" orientation="landscape" r:id="rId1"/>
  <headerFooter alignWithMargins="0">
    <oddHeader>&amp;L&amp;"PT Sans,Standard"Fachbereich 9&amp;R&amp;"PT Sans,Standard"&amp;A</oddHeader>
    <oddFooter>&amp;C&amp;"PT Sans,Standard"Seite &amp;P&amp;R&amp;F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6"/>
  <sheetViews>
    <sheetView view="pageLayout" zoomScale="70" zoomScaleNormal="75" zoomScalePageLayoutView="70" workbookViewId="0">
      <selection activeCell="AG41" sqref="AG41"/>
    </sheetView>
  </sheetViews>
  <sheetFormatPr baseColWidth="10" defaultRowHeight="12.75" x14ac:dyDescent="0.2"/>
  <cols>
    <col min="1" max="1" width="28" customWidth="1"/>
    <col min="2" max="2" width="8.5703125" hidden="1" customWidth="1"/>
    <col min="3" max="3" width="3.5703125" hidden="1" customWidth="1"/>
    <col min="4" max="4" width="5.28515625" bestFit="1" customWidth="1"/>
    <col min="5" max="5" width="4.5703125" bestFit="1" customWidth="1"/>
    <col min="6" max="6" width="5.28515625" bestFit="1" customWidth="1"/>
    <col min="7" max="7" width="4.5703125" bestFit="1" customWidth="1"/>
    <col min="8" max="8" width="5.28515625" bestFit="1" customWidth="1"/>
    <col min="9" max="9" width="4.5703125" bestFit="1" customWidth="1"/>
    <col min="10" max="10" width="5.28515625" bestFit="1" customWidth="1"/>
    <col min="11" max="11" width="4.5703125" bestFit="1" customWidth="1"/>
    <col min="12" max="12" width="6.42578125" bestFit="1" customWidth="1"/>
    <col min="13" max="13" width="5.140625" bestFit="1" customWidth="1"/>
    <col min="14" max="14" width="5.28515625" bestFit="1" customWidth="1"/>
    <col min="15" max="15" width="4.42578125" customWidth="1"/>
    <col min="16" max="16" width="5.28515625" bestFit="1" customWidth="1"/>
    <col min="17" max="17" width="4.5703125" bestFit="1" customWidth="1"/>
    <col min="18" max="18" width="6.42578125" bestFit="1" customWidth="1"/>
    <col min="19" max="19" width="4.5703125" bestFit="1" customWidth="1"/>
    <col min="20" max="20" width="6.42578125" bestFit="1" customWidth="1"/>
    <col min="21" max="21" width="4.5703125" bestFit="1" customWidth="1"/>
    <col min="22" max="22" width="6.42578125" bestFit="1" customWidth="1"/>
    <col min="23" max="23" width="4.5703125" bestFit="1" customWidth="1"/>
    <col min="24" max="25" width="5.28515625" customWidth="1"/>
    <col min="26" max="26" width="6.42578125" bestFit="1" customWidth="1"/>
    <col min="27" max="27" width="6" bestFit="1" customWidth="1"/>
    <col min="28" max="28" width="5.42578125" customWidth="1"/>
    <col min="29" max="29" width="4.5703125" bestFit="1" customWidth="1"/>
    <col min="30" max="30" width="5.28515625" bestFit="1" customWidth="1"/>
    <col min="31" max="31" width="4.5703125" bestFit="1" customWidth="1"/>
    <col min="32" max="32" width="5.28515625" bestFit="1" customWidth="1"/>
    <col min="33" max="33" width="4.5703125" bestFit="1" customWidth="1"/>
    <col min="34" max="34" width="6.42578125" bestFit="1" customWidth="1"/>
    <col min="35" max="35" width="5.140625" bestFit="1" customWidth="1"/>
    <col min="36" max="36" width="7.7109375" bestFit="1" customWidth="1"/>
    <col min="37" max="37" width="6" bestFit="1" customWidth="1"/>
    <col min="38" max="38" width="0" hidden="1" customWidth="1"/>
  </cols>
  <sheetData>
    <row r="1" spans="1:39" ht="21" x14ac:dyDescent="0.35">
      <c r="A1" s="607" t="s">
        <v>327</v>
      </c>
      <c r="AM1" s="611"/>
    </row>
    <row r="2" spans="1:39" ht="13.5" thickBot="1" x14ac:dyDescent="0.25"/>
    <row r="3" spans="1:39" ht="14.25" customHeight="1" thickBot="1" x14ac:dyDescent="0.3">
      <c r="A3" s="949"/>
      <c r="B3" s="946" t="s">
        <v>205</v>
      </c>
      <c r="C3" s="947"/>
      <c r="D3" s="11" t="s">
        <v>5</v>
      </c>
      <c r="E3" s="12"/>
      <c r="F3" s="12" t="s">
        <v>6</v>
      </c>
      <c r="G3" s="12"/>
      <c r="H3" s="12" t="s">
        <v>7</v>
      </c>
      <c r="I3" s="12"/>
      <c r="J3" s="12" t="s">
        <v>8</v>
      </c>
      <c r="K3" s="12"/>
      <c r="L3" s="13" t="s">
        <v>9</v>
      </c>
      <c r="M3" s="14"/>
      <c r="N3" s="12" t="s">
        <v>10</v>
      </c>
      <c r="O3" s="12"/>
      <c r="P3" s="12" t="s">
        <v>11</v>
      </c>
      <c r="Q3" s="12"/>
      <c r="R3" s="12" t="s">
        <v>12</v>
      </c>
      <c r="S3" s="12"/>
      <c r="T3" s="12" t="s">
        <v>13</v>
      </c>
      <c r="U3" s="12"/>
      <c r="V3" s="12" t="s">
        <v>14</v>
      </c>
      <c r="W3" s="12"/>
      <c r="X3" s="12" t="s">
        <v>15</v>
      </c>
      <c r="Y3" s="12"/>
      <c r="Z3" s="13" t="s">
        <v>60</v>
      </c>
      <c r="AA3" s="14"/>
      <c r="AB3" s="12" t="s">
        <v>16</v>
      </c>
      <c r="AC3" s="12"/>
      <c r="AD3" s="12" t="s">
        <v>17</v>
      </c>
      <c r="AE3" s="15"/>
      <c r="AF3" s="12" t="s">
        <v>18</v>
      </c>
      <c r="AG3" s="12"/>
      <c r="AH3" s="13" t="s">
        <v>61</v>
      </c>
      <c r="AI3" s="16"/>
      <c r="AJ3" s="13" t="s">
        <v>19</v>
      </c>
      <c r="AK3" s="14"/>
      <c r="AL3" s="10"/>
    </row>
    <row r="4" spans="1:39" ht="16.5" thickBot="1" x14ac:dyDescent="0.3">
      <c r="A4" s="950"/>
      <c r="B4" s="18" t="s">
        <v>20</v>
      </c>
      <c r="C4" s="19" t="s">
        <v>21</v>
      </c>
      <c r="D4" s="20" t="s">
        <v>20</v>
      </c>
      <c r="E4" s="21" t="s">
        <v>21</v>
      </c>
      <c r="F4" s="21" t="s">
        <v>20</v>
      </c>
      <c r="G4" s="21" t="s">
        <v>21</v>
      </c>
      <c r="H4" s="21" t="s">
        <v>20</v>
      </c>
      <c r="I4" s="21" t="s">
        <v>21</v>
      </c>
      <c r="J4" s="21" t="s">
        <v>20</v>
      </c>
      <c r="K4" s="21" t="s">
        <v>21</v>
      </c>
      <c r="L4" s="22" t="s">
        <v>20</v>
      </c>
      <c r="M4" s="23" t="s">
        <v>21</v>
      </c>
      <c r="N4" s="21" t="s">
        <v>20</v>
      </c>
      <c r="O4" s="21" t="s">
        <v>21</v>
      </c>
      <c r="P4" s="21" t="s">
        <v>20</v>
      </c>
      <c r="Q4" s="21" t="s">
        <v>21</v>
      </c>
      <c r="R4" s="21" t="s">
        <v>20</v>
      </c>
      <c r="S4" s="21" t="s">
        <v>21</v>
      </c>
      <c r="T4" s="21" t="s">
        <v>20</v>
      </c>
      <c r="U4" s="21" t="s">
        <v>21</v>
      </c>
      <c r="V4" s="21" t="s">
        <v>20</v>
      </c>
      <c r="W4" s="21" t="s">
        <v>21</v>
      </c>
      <c r="X4" s="21" t="s">
        <v>20</v>
      </c>
      <c r="Y4" s="21" t="s">
        <v>21</v>
      </c>
      <c r="Z4" s="22" t="s">
        <v>20</v>
      </c>
      <c r="AA4" s="23" t="s">
        <v>21</v>
      </c>
      <c r="AB4" s="21" t="s">
        <v>20</v>
      </c>
      <c r="AC4" s="24" t="s">
        <v>208</v>
      </c>
      <c r="AD4" s="21" t="s">
        <v>20</v>
      </c>
      <c r="AE4" s="24" t="s">
        <v>208</v>
      </c>
      <c r="AF4" s="21" t="s">
        <v>20</v>
      </c>
      <c r="AG4" s="24" t="s">
        <v>208</v>
      </c>
      <c r="AH4" s="22" t="s">
        <v>20</v>
      </c>
      <c r="AI4" s="21" t="s">
        <v>208</v>
      </c>
      <c r="AJ4" s="25" t="s">
        <v>20</v>
      </c>
      <c r="AK4" s="26" t="s">
        <v>62</v>
      </c>
      <c r="AL4" s="17"/>
    </row>
    <row r="5" spans="1:39" ht="15.75" x14ac:dyDescent="0.25">
      <c r="A5" s="27" t="s">
        <v>22</v>
      </c>
      <c r="B5" s="28"/>
      <c r="C5" s="29"/>
      <c r="D5" s="30">
        <v>0</v>
      </c>
      <c r="E5" s="608">
        <f>'Anlage 1a'!E5</f>
        <v>2</v>
      </c>
      <c r="F5" s="31">
        <v>2</v>
      </c>
      <c r="G5" s="608">
        <f>'Anlage 1a'!G5</f>
        <v>2</v>
      </c>
      <c r="H5" s="31">
        <v>3</v>
      </c>
      <c r="I5" s="608">
        <f>'Anlage 1a'!I5</f>
        <v>2</v>
      </c>
      <c r="J5" s="31">
        <v>0</v>
      </c>
      <c r="K5" s="608">
        <f>'Anlage 1a'!K5</f>
        <v>3</v>
      </c>
      <c r="L5" s="32">
        <f>SUM(D5,F5,H5,J5)</f>
        <v>5</v>
      </c>
      <c r="M5" s="33">
        <f>SUM(E5,G5,I5,K5)</f>
        <v>9</v>
      </c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5">
        <f>SUM(N5,P5,R5,T5,V5,X5)</f>
        <v>0</v>
      </c>
      <c r="AA5" s="36">
        <f>SUM(O5,Q5,S5,U5,W5,Y5)</f>
        <v>0</v>
      </c>
      <c r="AB5" s="34"/>
      <c r="AC5" s="34"/>
      <c r="AD5" s="34"/>
      <c r="AE5" s="34"/>
      <c r="AF5" s="34"/>
      <c r="AG5" s="34"/>
      <c r="AH5" s="35">
        <f t="shared" ref="AH5:AI8" si="0">SUM(AB5,AD5,AF5)</f>
        <v>0</v>
      </c>
      <c r="AI5" s="37">
        <f t="shared" si="0"/>
        <v>0</v>
      </c>
      <c r="AJ5" s="32">
        <f t="shared" ref="AJ5:AK8" si="1">SUM(L5,Z5,AH5)</f>
        <v>5</v>
      </c>
      <c r="AK5" s="33">
        <f t="shared" si="1"/>
        <v>9</v>
      </c>
      <c r="AL5" s="27"/>
    </row>
    <row r="6" spans="1:39" ht="15.75" x14ac:dyDescent="0.25">
      <c r="A6" s="27" t="s">
        <v>23</v>
      </c>
      <c r="B6" s="28"/>
      <c r="C6" s="29"/>
      <c r="D6" s="30">
        <v>1</v>
      </c>
      <c r="E6" s="608">
        <f>'Anlage 1a'!E6</f>
        <v>2</v>
      </c>
      <c r="F6" s="31">
        <v>0</v>
      </c>
      <c r="G6" s="608">
        <f>'Anlage 1a'!G6</f>
        <v>2</v>
      </c>
      <c r="H6" s="31">
        <v>0</v>
      </c>
      <c r="I6" s="608">
        <f>'Anlage 1a'!I6</f>
        <v>2</v>
      </c>
      <c r="J6" s="31">
        <v>0</v>
      </c>
      <c r="K6" s="608">
        <f>'Anlage 1a'!K6</f>
        <v>2</v>
      </c>
      <c r="L6" s="32">
        <f>SUM(D6,F6,H6,J6)</f>
        <v>1</v>
      </c>
      <c r="M6" s="33">
        <f t="shared" ref="L6:M21" si="2">SUM(E6,G6,I6,K6)</f>
        <v>8</v>
      </c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5">
        <f t="shared" ref="Z6:AA8" si="3">SUM(N6,P6,R6,T6,V6,X6)</f>
        <v>0</v>
      </c>
      <c r="AA6" s="36">
        <f t="shared" si="3"/>
        <v>0</v>
      </c>
      <c r="AB6" s="34"/>
      <c r="AC6" s="34"/>
      <c r="AD6" s="34"/>
      <c r="AE6" s="34"/>
      <c r="AF6" s="34"/>
      <c r="AG6" s="34"/>
      <c r="AH6" s="35">
        <f t="shared" si="0"/>
        <v>0</v>
      </c>
      <c r="AI6" s="37">
        <f t="shared" si="0"/>
        <v>0</v>
      </c>
      <c r="AJ6" s="32">
        <f t="shared" si="1"/>
        <v>1</v>
      </c>
      <c r="AK6" s="33">
        <f t="shared" si="1"/>
        <v>8</v>
      </c>
      <c r="AL6" s="27"/>
    </row>
    <row r="7" spans="1:39" ht="15.75" x14ac:dyDescent="0.25">
      <c r="A7" s="27" t="s">
        <v>24</v>
      </c>
      <c r="B7" s="28"/>
      <c r="C7" s="29"/>
      <c r="D7" s="30">
        <v>1</v>
      </c>
      <c r="E7" s="608">
        <f>'Anlage 1a'!E7</f>
        <v>2</v>
      </c>
      <c r="F7" s="31">
        <v>0</v>
      </c>
      <c r="G7" s="608">
        <f>'Anlage 1a'!G7</f>
        <v>2</v>
      </c>
      <c r="H7" s="31">
        <v>2</v>
      </c>
      <c r="I7" s="608">
        <f>'Anlage 1a'!I7</f>
        <v>2</v>
      </c>
      <c r="J7" s="31">
        <v>1</v>
      </c>
      <c r="K7" s="608">
        <f>'Anlage 1a'!K7</f>
        <v>3</v>
      </c>
      <c r="L7" s="32">
        <f t="shared" si="2"/>
        <v>4</v>
      </c>
      <c r="M7" s="33">
        <f t="shared" si="2"/>
        <v>9</v>
      </c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5">
        <f t="shared" si="3"/>
        <v>0</v>
      </c>
      <c r="AA7" s="36">
        <f t="shared" si="3"/>
        <v>0</v>
      </c>
      <c r="AB7" s="34"/>
      <c r="AC7" s="34"/>
      <c r="AD7" s="34"/>
      <c r="AE7" s="34"/>
      <c r="AF7" s="34"/>
      <c r="AG7" s="34"/>
      <c r="AH7" s="35">
        <f t="shared" si="0"/>
        <v>0</v>
      </c>
      <c r="AI7" s="37">
        <f t="shared" si="0"/>
        <v>0</v>
      </c>
      <c r="AJ7" s="32">
        <f t="shared" si="1"/>
        <v>4</v>
      </c>
      <c r="AK7" s="33">
        <f t="shared" si="1"/>
        <v>9</v>
      </c>
      <c r="AL7" s="27"/>
    </row>
    <row r="8" spans="1:39" ht="16.5" thickBot="1" x14ac:dyDescent="0.3">
      <c r="A8" s="38" t="s">
        <v>291</v>
      </c>
      <c r="B8" s="39"/>
      <c r="C8" s="40"/>
      <c r="D8" s="30">
        <v>7</v>
      </c>
      <c r="E8" s="608">
        <f>'Anlage 1a'!E8</f>
        <v>2</v>
      </c>
      <c r="F8" s="31">
        <v>3</v>
      </c>
      <c r="G8" s="608">
        <f>'Anlage 1a'!G8</f>
        <v>1</v>
      </c>
      <c r="H8" s="31">
        <v>0</v>
      </c>
      <c r="I8" s="608">
        <f>'Anlage 1a'!I8</f>
        <v>2</v>
      </c>
      <c r="J8" s="31">
        <v>0</v>
      </c>
      <c r="K8" s="608">
        <f>'Anlage 1a'!K8</f>
        <v>2</v>
      </c>
      <c r="L8" s="43">
        <f>SUM(D8+F8+H8+J8)</f>
        <v>10</v>
      </c>
      <c r="M8" s="44">
        <f t="shared" si="2"/>
        <v>7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6">
        <f t="shared" si="3"/>
        <v>0</v>
      </c>
      <c r="AA8" s="47">
        <f t="shared" si="3"/>
        <v>0</v>
      </c>
      <c r="AB8" s="45"/>
      <c r="AC8" s="45">
        <v>0</v>
      </c>
      <c r="AD8" s="45"/>
      <c r="AE8" s="45"/>
      <c r="AF8" s="45"/>
      <c r="AG8" s="48"/>
      <c r="AH8" s="46">
        <f t="shared" si="0"/>
        <v>0</v>
      </c>
      <c r="AI8" s="49">
        <f t="shared" si="0"/>
        <v>0</v>
      </c>
      <c r="AJ8" s="43">
        <f t="shared" si="1"/>
        <v>10</v>
      </c>
      <c r="AK8" s="44">
        <f t="shared" si="1"/>
        <v>7</v>
      </c>
      <c r="AL8" s="38"/>
    </row>
    <row r="9" spans="1:39" ht="16.5" thickBot="1" x14ac:dyDescent="0.3">
      <c r="A9" s="50" t="s">
        <v>25</v>
      </c>
      <c r="B9" s="51"/>
      <c r="C9" s="52"/>
      <c r="D9" s="53">
        <f>SUM(D5,D6,D7,D8)</f>
        <v>9</v>
      </c>
      <c r="E9" s="54">
        <f t="shared" ref="E9:Y9" si="4">SUM(E5,E6,E7,E8)</f>
        <v>8</v>
      </c>
      <c r="F9" s="54">
        <f>SUM(F5,F6,F7,F8)</f>
        <v>5</v>
      </c>
      <c r="G9" s="54">
        <f t="shared" si="4"/>
        <v>7</v>
      </c>
      <c r="H9" s="54">
        <f>SUM(H5,H6,H7,H8)</f>
        <v>5</v>
      </c>
      <c r="I9" s="54">
        <f t="shared" si="4"/>
        <v>8</v>
      </c>
      <c r="J9" s="54">
        <f>SUM(J5,J6,J7,J8)</f>
        <v>1</v>
      </c>
      <c r="K9" s="54">
        <f t="shared" si="4"/>
        <v>10</v>
      </c>
      <c r="L9" s="55">
        <f t="shared" si="4"/>
        <v>20</v>
      </c>
      <c r="M9" s="56">
        <f t="shared" si="4"/>
        <v>33</v>
      </c>
      <c r="N9" s="57">
        <f t="shared" si="4"/>
        <v>0</v>
      </c>
      <c r="O9" s="57">
        <f t="shared" si="4"/>
        <v>0</v>
      </c>
      <c r="P9" s="57">
        <f t="shared" si="4"/>
        <v>0</v>
      </c>
      <c r="Q9" s="57">
        <f t="shared" si="4"/>
        <v>0</v>
      </c>
      <c r="R9" s="57">
        <f t="shared" si="4"/>
        <v>0</v>
      </c>
      <c r="S9" s="57">
        <f t="shared" si="4"/>
        <v>0</v>
      </c>
      <c r="T9" s="57">
        <f t="shared" si="4"/>
        <v>0</v>
      </c>
      <c r="U9" s="57">
        <f t="shared" si="4"/>
        <v>0</v>
      </c>
      <c r="V9" s="57">
        <f t="shared" si="4"/>
        <v>0</v>
      </c>
      <c r="W9" s="57">
        <f t="shared" si="4"/>
        <v>0</v>
      </c>
      <c r="X9" s="57">
        <f t="shared" si="4"/>
        <v>0</v>
      </c>
      <c r="Y9" s="57">
        <f t="shared" si="4"/>
        <v>0</v>
      </c>
      <c r="Z9" s="58"/>
      <c r="AA9" s="59"/>
      <c r="AB9" s="57"/>
      <c r="AC9" s="57"/>
      <c r="AD9" s="57"/>
      <c r="AE9" s="57"/>
      <c r="AF9" s="57"/>
      <c r="AG9" s="57"/>
      <c r="AH9" s="58"/>
      <c r="AI9" s="60"/>
      <c r="AJ9" s="55">
        <f>SUM(AJ5,AJ6,AJ7,AJ8)</f>
        <v>20</v>
      </c>
      <c r="AK9" s="56">
        <f>SUM(AK5,AK6,AK7,AK8)</f>
        <v>33</v>
      </c>
      <c r="AL9" s="50"/>
    </row>
    <row r="10" spans="1:39" ht="15.75" hidden="1" x14ac:dyDescent="0.25">
      <c r="A10" s="635" t="s">
        <v>26</v>
      </c>
      <c r="B10" s="636"/>
      <c r="C10" s="637"/>
      <c r="D10" s="638"/>
      <c r="E10" s="733"/>
      <c r="F10" s="639"/>
      <c r="G10" s="639"/>
      <c r="H10" s="639"/>
      <c r="I10" s="639"/>
      <c r="J10" s="639"/>
      <c r="K10" s="639"/>
      <c r="L10" s="640"/>
      <c r="M10" s="641"/>
      <c r="N10" s="642"/>
      <c r="O10" s="642"/>
      <c r="P10" s="642"/>
      <c r="Q10" s="642"/>
      <c r="R10" s="642"/>
      <c r="S10" s="642"/>
      <c r="T10" s="642"/>
      <c r="U10" s="642"/>
      <c r="V10" s="642"/>
      <c r="W10" s="642"/>
      <c r="X10" s="642"/>
      <c r="Y10" s="642"/>
      <c r="Z10" s="643"/>
      <c r="AA10" s="644"/>
      <c r="AB10" s="642"/>
      <c r="AC10" s="642"/>
      <c r="AD10" s="642"/>
      <c r="AE10" s="642"/>
      <c r="AF10" s="642"/>
      <c r="AG10" s="642"/>
      <c r="AH10" s="643"/>
      <c r="AI10" s="645"/>
      <c r="AJ10" s="640"/>
      <c r="AK10" s="641"/>
      <c r="AL10" s="61"/>
    </row>
    <row r="11" spans="1:39" ht="15.75" x14ac:dyDescent="0.25">
      <c r="A11" s="27" t="s">
        <v>27</v>
      </c>
      <c r="B11" s="28"/>
      <c r="C11" s="72"/>
      <c r="D11" s="30">
        <v>6</v>
      </c>
      <c r="E11" s="608">
        <f>'Anlage 1a'!E11</f>
        <v>3</v>
      </c>
      <c r="F11" s="31">
        <v>6</v>
      </c>
      <c r="G11" s="609">
        <f>'Anlage 1a'!G11</f>
        <v>3</v>
      </c>
      <c r="H11" s="31">
        <v>0</v>
      </c>
      <c r="I11" s="609">
        <f>'Anlage 1a'!I11</f>
        <v>3</v>
      </c>
      <c r="J11" s="31">
        <v>1</v>
      </c>
      <c r="K11" s="609">
        <f>'Anlage 1a'!K11</f>
        <v>3</v>
      </c>
      <c r="L11" s="32">
        <f t="shared" si="2"/>
        <v>13</v>
      </c>
      <c r="M11" s="33">
        <f t="shared" si="2"/>
        <v>12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5"/>
      <c r="AA11" s="36"/>
      <c r="AB11" s="34"/>
      <c r="AC11" s="34"/>
      <c r="AD11" s="34"/>
      <c r="AE11" s="34"/>
      <c r="AF11" s="34"/>
      <c r="AG11" s="34"/>
      <c r="AH11" s="35"/>
      <c r="AI11" s="37"/>
      <c r="AJ11" s="32">
        <f t="shared" ref="AJ11:AK15" si="5">SUM(L11,Z11,AH11)</f>
        <v>13</v>
      </c>
      <c r="AK11" s="33">
        <f t="shared" si="5"/>
        <v>12</v>
      </c>
      <c r="AL11" s="27"/>
    </row>
    <row r="12" spans="1:39" ht="15.75" x14ac:dyDescent="0.25">
      <c r="A12" s="27" t="s">
        <v>28</v>
      </c>
      <c r="B12" s="28"/>
      <c r="C12" s="72"/>
      <c r="D12" s="30">
        <v>1</v>
      </c>
      <c r="E12" s="608">
        <f>'Anlage 1a'!E12</f>
        <v>2</v>
      </c>
      <c r="F12" s="31">
        <v>1</v>
      </c>
      <c r="G12" s="609">
        <f>'Anlage 1a'!G12</f>
        <v>2</v>
      </c>
      <c r="H12" s="31">
        <v>0</v>
      </c>
      <c r="I12" s="609">
        <f>'Anlage 1a'!I12</f>
        <v>2</v>
      </c>
      <c r="J12" s="31">
        <v>2</v>
      </c>
      <c r="K12" s="609">
        <f>'Anlage 1a'!K12</f>
        <v>2</v>
      </c>
      <c r="L12" s="32">
        <f t="shared" si="2"/>
        <v>4</v>
      </c>
      <c r="M12" s="33">
        <f t="shared" si="2"/>
        <v>8</v>
      </c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5"/>
      <c r="AA12" s="36"/>
      <c r="AB12" s="34"/>
      <c r="AC12" s="34"/>
      <c r="AD12" s="34"/>
      <c r="AE12" s="34"/>
      <c r="AF12" s="34"/>
      <c r="AG12" s="34"/>
      <c r="AH12" s="35"/>
      <c r="AI12" s="37"/>
      <c r="AJ12" s="32">
        <f t="shared" si="5"/>
        <v>4</v>
      </c>
      <c r="AK12" s="33">
        <f t="shared" si="5"/>
        <v>8</v>
      </c>
      <c r="AL12" s="27"/>
    </row>
    <row r="13" spans="1:39" ht="15.75" x14ac:dyDescent="0.25">
      <c r="A13" s="27" t="s">
        <v>29</v>
      </c>
      <c r="B13" s="28"/>
      <c r="C13" s="72"/>
      <c r="D13" s="30">
        <v>0</v>
      </c>
      <c r="E13" s="608">
        <f>'Anlage 1a'!E13</f>
        <v>3</v>
      </c>
      <c r="F13" s="31">
        <v>0</v>
      </c>
      <c r="G13" s="609">
        <f>'Anlage 1a'!G13</f>
        <v>3</v>
      </c>
      <c r="H13" s="31">
        <v>0</v>
      </c>
      <c r="I13" s="609">
        <f>'Anlage 1a'!I13</f>
        <v>3</v>
      </c>
      <c r="J13" s="31">
        <v>0</v>
      </c>
      <c r="K13" s="609">
        <f>'Anlage 1a'!K13</f>
        <v>3</v>
      </c>
      <c r="L13" s="32">
        <f t="shared" si="2"/>
        <v>0</v>
      </c>
      <c r="M13" s="33">
        <f t="shared" si="2"/>
        <v>12</v>
      </c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5"/>
      <c r="AA13" s="36"/>
      <c r="AB13" s="34"/>
      <c r="AC13" s="34"/>
      <c r="AD13" s="34"/>
      <c r="AE13" s="34"/>
      <c r="AF13" s="34"/>
      <c r="AG13" s="34"/>
      <c r="AH13" s="35"/>
      <c r="AI13" s="37"/>
      <c r="AJ13" s="32">
        <f t="shared" si="5"/>
        <v>0</v>
      </c>
      <c r="AK13" s="33">
        <f t="shared" si="5"/>
        <v>12</v>
      </c>
      <c r="AL13" s="27"/>
    </row>
    <row r="14" spans="1:39" ht="15.75" x14ac:dyDescent="0.25">
      <c r="A14" s="27" t="s">
        <v>58</v>
      </c>
      <c r="B14" s="28"/>
      <c r="C14" s="72"/>
      <c r="D14" s="30">
        <v>1</v>
      </c>
      <c r="E14" s="608">
        <f>'Anlage 1a'!E14</f>
        <v>3</v>
      </c>
      <c r="F14" s="31">
        <v>0</v>
      </c>
      <c r="G14" s="609">
        <f>'Anlage 1a'!G14</f>
        <v>2</v>
      </c>
      <c r="H14" s="31">
        <v>1</v>
      </c>
      <c r="I14" s="609">
        <f>'Anlage 1a'!I14</f>
        <v>3</v>
      </c>
      <c r="J14" s="31">
        <v>0</v>
      </c>
      <c r="K14" s="609">
        <f>'Anlage 1a'!K14</f>
        <v>2</v>
      </c>
      <c r="L14" s="32">
        <f t="shared" si="2"/>
        <v>2</v>
      </c>
      <c r="M14" s="33">
        <f t="shared" si="2"/>
        <v>10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5"/>
      <c r="AA14" s="36"/>
      <c r="AB14" s="34"/>
      <c r="AC14" s="34"/>
      <c r="AD14" s="34"/>
      <c r="AE14" s="34"/>
      <c r="AF14" s="34"/>
      <c r="AG14" s="34"/>
      <c r="AH14" s="35"/>
      <c r="AI14" s="37"/>
      <c r="AJ14" s="32">
        <f t="shared" si="5"/>
        <v>2</v>
      </c>
      <c r="AK14" s="33">
        <f t="shared" si="5"/>
        <v>10</v>
      </c>
      <c r="AL14" s="27"/>
    </row>
    <row r="15" spans="1:39" ht="16.5" thickBot="1" x14ac:dyDescent="0.3">
      <c r="A15" s="38" t="s">
        <v>292</v>
      </c>
      <c r="B15" s="73"/>
      <c r="C15" s="40"/>
      <c r="D15" s="74">
        <v>2</v>
      </c>
      <c r="E15" s="608">
        <f>'Anlage 1a'!E15</f>
        <v>3</v>
      </c>
      <c r="F15" s="42">
        <v>0</v>
      </c>
      <c r="G15" s="609">
        <f>'Anlage 1a'!G15</f>
        <v>3</v>
      </c>
      <c r="H15" s="42">
        <v>0</v>
      </c>
      <c r="I15" s="609">
        <f>'Anlage 1a'!I15</f>
        <v>3</v>
      </c>
      <c r="J15" s="42">
        <v>0</v>
      </c>
      <c r="K15" s="609">
        <f>'Anlage 1a'!K15</f>
        <v>3</v>
      </c>
      <c r="L15" s="43">
        <f t="shared" si="2"/>
        <v>2</v>
      </c>
      <c r="M15" s="44">
        <f t="shared" si="2"/>
        <v>12</v>
      </c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6"/>
      <c r="AA15" s="47"/>
      <c r="AB15" s="45"/>
      <c r="AC15" s="45"/>
      <c r="AD15" s="45"/>
      <c r="AE15" s="45"/>
      <c r="AF15" s="45"/>
      <c r="AG15" s="48"/>
      <c r="AH15" s="46"/>
      <c r="AI15" s="49"/>
      <c r="AJ15" s="43">
        <f t="shared" si="5"/>
        <v>2</v>
      </c>
      <c r="AK15" s="44">
        <f t="shared" si="5"/>
        <v>12</v>
      </c>
      <c r="AL15" s="38"/>
    </row>
    <row r="16" spans="1:39" ht="16.5" thickBot="1" x14ac:dyDescent="0.3">
      <c r="A16" s="50" t="s">
        <v>30</v>
      </c>
      <c r="B16" s="51"/>
      <c r="C16" s="52"/>
      <c r="D16" s="53">
        <f>SUM(D10,D11,D12,D13,D14,D15)</f>
        <v>10</v>
      </c>
      <c r="E16" s="54">
        <f t="shared" ref="E16:AK16" si="6">SUM(E10,E11,E12,E13,E14,E15)</f>
        <v>14</v>
      </c>
      <c r="F16" s="54">
        <f t="shared" si="6"/>
        <v>7</v>
      </c>
      <c r="G16" s="54">
        <f t="shared" si="6"/>
        <v>13</v>
      </c>
      <c r="H16" s="54">
        <f t="shared" si="6"/>
        <v>1</v>
      </c>
      <c r="I16" s="54">
        <f t="shared" si="6"/>
        <v>14</v>
      </c>
      <c r="J16" s="54">
        <f t="shared" si="6"/>
        <v>3</v>
      </c>
      <c r="K16" s="54">
        <f t="shared" si="6"/>
        <v>13</v>
      </c>
      <c r="L16" s="55">
        <f t="shared" si="6"/>
        <v>21</v>
      </c>
      <c r="M16" s="56">
        <f t="shared" si="6"/>
        <v>54</v>
      </c>
      <c r="N16" s="57">
        <f t="shared" si="6"/>
        <v>0</v>
      </c>
      <c r="O16" s="57">
        <f t="shared" si="6"/>
        <v>0</v>
      </c>
      <c r="P16" s="57">
        <f t="shared" si="6"/>
        <v>0</v>
      </c>
      <c r="Q16" s="57">
        <f t="shared" si="6"/>
        <v>0</v>
      </c>
      <c r="R16" s="57">
        <f t="shared" si="6"/>
        <v>0</v>
      </c>
      <c r="S16" s="57">
        <f t="shared" si="6"/>
        <v>0</v>
      </c>
      <c r="T16" s="57">
        <f t="shared" si="6"/>
        <v>0</v>
      </c>
      <c r="U16" s="57">
        <f t="shared" si="6"/>
        <v>0</v>
      </c>
      <c r="V16" s="57">
        <f t="shared" si="6"/>
        <v>0</v>
      </c>
      <c r="W16" s="57">
        <f t="shared" si="6"/>
        <v>0</v>
      </c>
      <c r="X16" s="57">
        <f t="shared" si="6"/>
        <v>0</v>
      </c>
      <c r="Y16" s="57">
        <f t="shared" si="6"/>
        <v>0</v>
      </c>
      <c r="Z16" s="58"/>
      <c r="AA16" s="59"/>
      <c r="AB16" s="57"/>
      <c r="AC16" s="57"/>
      <c r="AD16" s="57"/>
      <c r="AE16" s="57"/>
      <c r="AF16" s="57"/>
      <c r="AG16" s="57"/>
      <c r="AH16" s="58"/>
      <c r="AI16" s="60"/>
      <c r="AJ16" s="55">
        <f t="shared" si="6"/>
        <v>21</v>
      </c>
      <c r="AK16" s="56">
        <f t="shared" si="6"/>
        <v>54</v>
      </c>
      <c r="AL16" s="50"/>
    </row>
    <row r="17" spans="1:38" ht="15.75" x14ac:dyDescent="0.25">
      <c r="A17" s="61" t="s">
        <v>317</v>
      </c>
      <c r="B17" s="62"/>
      <c r="C17" s="63"/>
      <c r="D17" s="64">
        <v>2</v>
      </c>
      <c r="E17" s="608">
        <f>'Anlage 1a'!E17</f>
        <v>1</v>
      </c>
      <c r="F17" s="65">
        <v>0</v>
      </c>
      <c r="G17" s="609">
        <f>'Anlage 1a'!G17</f>
        <v>1</v>
      </c>
      <c r="H17" s="65">
        <v>0</v>
      </c>
      <c r="I17" s="609">
        <f>'Anlage 1a'!I17</f>
        <v>2</v>
      </c>
      <c r="J17" s="65">
        <v>0</v>
      </c>
      <c r="K17" s="609">
        <f>'Anlage 1a'!K17</f>
        <v>1</v>
      </c>
      <c r="L17" s="66">
        <f t="shared" si="2"/>
        <v>2</v>
      </c>
      <c r="M17" s="67">
        <f t="shared" si="2"/>
        <v>5</v>
      </c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71"/>
      <c r="Z17" s="99"/>
      <c r="AA17" s="100"/>
      <c r="AB17" s="99"/>
      <c r="AC17" s="619"/>
      <c r="AD17" s="619"/>
      <c r="AE17" s="619"/>
      <c r="AF17" s="619"/>
      <c r="AG17" s="100"/>
      <c r="AH17" s="99"/>
      <c r="AI17" s="100"/>
      <c r="AJ17" s="110">
        <f t="shared" ref="AJ17:AK21" si="7">SUM(L17,Z17,AH17)</f>
        <v>2</v>
      </c>
      <c r="AK17" s="67">
        <f t="shared" si="7"/>
        <v>5</v>
      </c>
      <c r="AL17" s="61"/>
    </row>
    <row r="18" spans="1:38" ht="15.75" x14ac:dyDescent="0.25">
      <c r="A18" s="27" t="s">
        <v>316</v>
      </c>
      <c r="B18" s="28"/>
      <c r="C18" s="72"/>
      <c r="D18" s="30">
        <v>0</v>
      </c>
      <c r="E18" s="608">
        <f>'Anlage 1a'!E18</f>
        <v>2</v>
      </c>
      <c r="F18" s="31">
        <v>2</v>
      </c>
      <c r="G18" s="609">
        <f>'Anlage 1a'!G18</f>
        <v>2</v>
      </c>
      <c r="H18" s="31">
        <v>1</v>
      </c>
      <c r="I18" s="609">
        <f>'Anlage 1a'!I18</f>
        <v>2</v>
      </c>
      <c r="J18" s="31">
        <v>0</v>
      </c>
      <c r="K18" s="609">
        <f>'Anlage 1a'!K18</f>
        <v>2</v>
      </c>
      <c r="L18" s="32">
        <f t="shared" si="2"/>
        <v>3</v>
      </c>
      <c r="M18" s="33">
        <f t="shared" si="2"/>
        <v>8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7"/>
      <c r="Z18" s="35"/>
      <c r="AA18" s="36"/>
      <c r="AB18" s="35"/>
      <c r="AC18" s="34"/>
      <c r="AD18" s="34"/>
      <c r="AE18" s="34"/>
      <c r="AF18" s="34"/>
      <c r="AG18" s="36"/>
      <c r="AH18" s="35"/>
      <c r="AI18" s="36"/>
      <c r="AJ18" s="612">
        <f t="shared" si="7"/>
        <v>3</v>
      </c>
      <c r="AK18" s="33">
        <f t="shared" si="7"/>
        <v>8</v>
      </c>
      <c r="AL18" s="27"/>
    </row>
    <row r="19" spans="1:38" ht="15.75" x14ac:dyDescent="0.25">
      <c r="A19" s="27" t="s">
        <v>289</v>
      </c>
      <c r="B19" s="28"/>
      <c r="C19" s="72"/>
      <c r="D19" s="74">
        <v>1</v>
      </c>
      <c r="E19" s="608">
        <f>'Anlage 1a'!E19</f>
        <v>2</v>
      </c>
      <c r="F19" s="42">
        <v>1</v>
      </c>
      <c r="G19" s="609">
        <f>'Anlage 1a'!G19</f>
        <v>2</v>
      </c>
      <c r="H19" s="42">
        <v>1</v>
      </c>
      <c r="I19" s="609">
        <f>'Anlage 1a'!I19</f>
        <v>2</v>
      </c>
      <c r="J19" s="42">
        <v>1</v>
      </c>
      <c r="K19" s="609">
        <f>'Anlage 1a'!K19</f>
        <v>2</v>
      </c>
      <c r="L19" s="32">
        <f t="shared" si="2"/>
        <v>4</v>
      </c>
      <c r="M19" s="33">
        <f t="shared" si="2"/>
        <v>8</v>
      </c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7"/>
      <c r="Z19" s="35"/>
      <c r="AA19" s="36"/>
      <c r="AB19" s="35"/>
      <c r="AC19" s="34"/>
      <c r="AD19" s="34"/>
      <c r="AE19" s="34"/>
      <c r="AF19" s="34"/>
      <c r="AG19" s="36"/>
      <c r="AH19" s="35"/>
      <c r="AI19" s="36"/>
      <c r="AJ19" s="612">
        <f t="shared" si="7"/>
        <v>4</v>
      </c>
      <c r="AK19" s="33">
        <f t="shared" si="7"/>
        <v>8</v>
      </c>
      <c r="AL19" s="27"/>
    </row>
    <row r="20" spans="1:38" ht="15.75" x14ac:dyDescent="0.25">
      <c r="A20" s="27" t="s">
        <v>290</v>
      </c>
      <c r="B20" s="28"/>
      <c r="C20" s="72"/>
      <c r="D20" s="30">
        <v>1</v>
      </c>
      <c r="E20" s="608">
        <f>'Anlage 1a'!E20</f>
        <v>1</v>
      </c>
      <c r="F20" s="31">
        <v>0</v>
      </c>
      <c r="G20" s="609">
        <f>'Anlage 1a'!G20</f>
        <v>1</v>
      </c>
      <c r="H20" s="31">
        <v>0</v>
      </c>
      <c r="I20" s="609">
        <f>'Anlage 1a'!I20</f>
        <v>1</v>
      </c>
      <c r="J20" s="31">
        <v>0</v>
      </c>
      <c r="K20" s="609">
        <f>'Anlage 1a'!K20</f>
        <v>1</v>
      </c>
      <c r="L20" s="32">
        <f t="shared" si="2"/>
        <v>1</v>
      </c>
      <c r="M20" s="33">
        <f t="shared" si="2"/>
        <v>4</v>
      </c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614"/>
      <c r="Z20" s="615"/>
      <c r="AA20" s="616"/>
      <c r="AB20" s="620"/>
      <c r="AC20" s="613"/>
      <c r="AD20" s="613"/>
      <c r="AE20" s="34"/>
      <c r="AF20" s="34"/>
      <c r="AG20" s="36"/>
      <c r="AH20" s="35"/>
      <c r="AI20" s="36"/>
      <c r="AJ20" s="612">
        <f>SUM(L20,Z20,AH20)</f>
        <v>1</v>
      </c>
      <c r="AK20" s="33">
        <f t="shared" si="7"/>
        <v>4</v>
      </c>
      <c r="AL20" s="27"/>
    </row>
    <row r="21" spans="1:38" ht="16.5" thickBot="1" x14ac:dyDescent="0.3">
      <c r="A21" s="38" t="s">
        <v>300</v>
      </c>
      <c r="B21" s="73"/>
      <c r="C21" s="40"/>
      <c r="D21" s="74">
        <v>0</v>
      </c>
      <c r="E21" s="608">
        <f>'Anlage 1a'!E21</f>
        <v>3</v>
      </c>
      <c r="F21" s="42">
        <v>0</v>
      </c>
      <c r="G21" s="609">
        <f>'Anlage 1a'!G21</f>
        <v>3</v>
      </c>
      <c r="H21" s="42">
        <v>0</v>
      </c>
      <c r="I21" s="609">
        <f>'Anlage 1a'!I21</f>
        <v>3</v>
      </c>
      <c r="J21" s="42">
        <v>1</v>
      </c>
      <c r="K21" s="609">
        <f>'Anlage 1a'!K21</f>
        <v>3</v>
      </c>
      <c r="L21" s="43">
        <f t="shared" si="2"/>
        <v>1</v>
      </c>
      <c r="M21" s="44">
        <f>SUM(E21,G21,I21,K21)</f>
        <v>12</v>
      </c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9"/>
      <c r="Z21" s="617"/>
      <c r="AA21" s="618"/>
      <c r="AB21" s="617"/>
      <c r="AC21" s="621"/>
      <c r="AD21" s="621"/>
      <c r="AE21" s="621"/>
      <c r="AF21" s="621"/>
      <c r="AG21" s="622"/>
      <c r="AH21" s="617"/>
      <c r="AI21" s="618"/>
      <c r="AJ21" s="623">
        <f>SUM(L21,Z21,AH21)</f>
        <v>1</v>
      </c>
      <c r="AK21" s="44">
        <f t="shared" si="7"/>
        <v>12</v>
      </c>
      <c r="AL21" s="38"/>
    </row>
    <row r="22" spans="1:38" ht="16.5" thickBot="1" x14ac:dyDescent="0.3">
      <c r="A22" s="50" t="s">
        <v>31</v>
      </c>
      <c r="B22" s="51"/>
      <c r="C22" s="52"/>
      <c r="D22" s="53">
        <f>SUM(D17:D21)</f>
        <v>4</v>
      </c>
      <c r="E22" s="53">
        <f t="shared" ref="E22:J22" si="8">SUM(E17:E21)</f>
        <v>9</v>
      </c>
      <c r="F22" s="53">
        <f t="shared" si="8"/>
        <v>3</v>
      </c>
      <c r="G22" s="53">
        <f t="shared" si="8"/>
        <v>9</v>
      </c>
      <c r="H22" s="53">
        <f t="shared" si="8"/>
        <v>2</v>
      </c>
      <c r="I22" s="53">
        <f t="shared" si="8"/>
        <v>10</v>
      </c>
      <c r="J22" s="53">
        <f t="shared" si="8"/>
        <v>2</v>
      </c>
      <c r="K22" s="54">
        <f t="shared" ref="K22:AK22" si="9">SUM(K17,K18,K19,K20,K21)</f>
        <v>9</v>
      </c>
      <c r="L22" s="55">
        <f t="shared" si="9"/>
        <v>11</v>
      </c>
      <c r="M22" s="56">
        <f t="shared" si="9"/>
        <v>37</v>
      </c>
      <c r="N22" s="57">
        <f t="shared" si="9"/>
        <v>0</v>
      </c>
      <c r="O22" s="57">
        <f t="shared" si="9"/>
        <v>0</v>
      </c>
      <c r="P22" s="57">
        <f t="shared" si="9"/>
        <v>0</v>
      </c>
      <c r="Q22" s="57">
        <f t="shared" si="9"/>
        <v>0</v>
      </c>
      <c r="R22" s="57">
        <f t="shared" si="9"/>
        <v>0</v>
      </c>
      <c r="S22" s="57">
        <f t="shared" si="9"/>
        <v>0</v>
      </c>
      <c r="T22" s="57">
        <f t="shared" si="9"/>
        <v>0</v>
      </c>
      <c r="U22" s="57">
        <f t="shared" si="9"/>
        <v>0</v>
      </c>
      <c r="V22" s="57">
        <f t="shared" si="9"/>
        <v>0</v>
      </c>
      <c r="W22" s="57">
        <f t="shared" si="9"/>
        <v>0</v>
      </c>
      <c r="X22" s="57">
        <f>SUM(X17,X18,X19,X20,X21)</f>
        <v>0</v>
      </c>
      <c r="Y22" s="57">
        <f>SUM(Y17,Y18,Y19,Y20,Y21)</f>
        <v>0</v>
      </c>
      <c r="Z22" s="58"/>
      <c r="AA22" s="59"/>
      <c r="AB22" s="60"/>
      <c r="AC22" s="57"/>
      <c r="AD22" s="57"/>
      <c r="AE22" s="57"/>
      <c r="AF22" s="57"/>
      <c r="AG22" s="57"/>
      <c r="AH22" s="58"/>
      <c r="AI22" s="60"/>
      <c r="AJ22" s="55">
        <f t="shared" si="9"/>
        <v>11</v>
      </c>
      <c r="AK22" s="56">
        <f t="shared" si="9"/>
        <v>37</v>
      </c>
      <c r="AL22" s="50"/>
    </row>
    <row r="23" spans="1:38" ht="15.75" x14ac:dyDescent="0.25">
      <c r="A23" s="61" t="s">
        <v>32</v>
      </c>
      <c r="B23" s="62"/>
      <c r="C23" s="63"/>
      <c r="D23" s="64">
        <v>0</v>
      </c>
      <c r="E23" s="608">
        <f>'Anlage 1a'!E23</f>
        <v>4</v>
      </c>
      <c r="F23" s="65">
        <v>3</v>
      </c>
      <c r="G23" s="609">
        <f>'Anlage 1a'!G23</f>
        <v>4</v>
      </c>
      <c r="H23" s="65">
        <v>0</v>
      </c>
      <c r="I23" s="609">
        <f>'Anlage 1a'!I23</f>
        <v>3</v>
      </c>
      <c r="J23" s="65">
        <v>1</v>
      </c>
      <c r="K23" s="609">
        <f>'Anlage 1a'!K23</f>
        <v>4</v>
      </c>
      <c r="L23" s="66">
        <f>SUM(D23,F23,H23,J23)</f>
        <v>4</v>
      </c>
      <c r="M23" s="67">
        <f>SUM(E23,G23,I23,K23)</f>
        <v>15</v>
      </c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9"/>
      <c r="AA23" s="70"/>
      <c r="AB23" s="68"/>
      <c r="AC23" s="68"/>
      <c r="AD23" s="68"/>
      <c r="AE23" s="68"/>
      <c r="AF23" s="68"/>
      <c r="AG23" s="68"/>
      <c r="AH23" s="69"/>
      <c r="AI23" s="71"/>
      <c r="AJ23" s="66">
        <f>SUM(L23,Z23,AH23)</f>
        <v>4</v>
      </c>
      <c r="AK23" s="67">
        <f>SUM(M23,AA23,AI23)</f>
        <v>15</v>
      </c>
      <c r="AL23" s="61"/>
    </row>
    <row r="24" spans="1:38" ht="16.5" thickBot="1" x14ac:dyDescent="0.3">
      <c r="A24" s="38" t="s">
        <v>33</v>
      </c>
      <c r="B24" s="73"/>
      <c r="C24" s="40"/>
      <c r="D24" s="74">
        <v>0</v>
      </c>
      <c r="E24" s="608">
        <f>'Anlage 1a'!E24</f>
        <v>2</v>
      </c>
      <c r="F24" s="42">
        <v>0</v>
      </c>
      <c r="G24" s="609">
        <f>'Anlage 1a'!G24</f>
        <v>2</v>
      </c>
      <c r="H24" s="42">
        <v>1</v>
      </c>
      <c r="I24" s="609">
        <f>'Anlage 1a'!I24</f>
        <v>2</v>
      </c>
      <c r="J24" s="42">
        <v>0</v>
      </c>
      <c r="K24" s="609">
        <f>'Anlage 1a'!K24</f>
        <v>2</v>
      </c>
      <c r="L24" s="43">
        <f>SUM(D24,F24,H24,J24)</f>
        <v>1</v>
      </c>
      <c r="M24" s="44">
        <f>SUM(E24,G24,I24,K24)</f>
        <v>8</v>
      </c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6">
        <f>SUM(N24,P24,R24,T24,V24,X24)</f>
        <v>0</v>
      </c>
      <c r="AA24" s="47">
        <f>SUM(O24,Q24,S24,U24,W24,Y24)</f>
        <v>0</v>
      </c>
      <c r="AB24" s="45"/>
      <c r="AC24" s="45"/>
      <c r="AD24" s="45"/>
      <c r="AE24" s="45"/>
      <c r="AF24" s="45"/>
      <c r="AG24" s="48"/>
      <c r="AH24" s="46">
        <f>SUM(AB24,AD24,AF24)</f>
        <v>0</v>
      </c>
      <c r="AI24" s="49">
        <f>SUM(AC24,AE24,AG24)</f>
        <v>0</v>
      </c>
      <c r="AJ24" s="43">
        <f>SUM(L24,Z24,AH24)</f>
        <v>1</v>
      </c>
      <c r="AK24" s="44">
        <f>SUM(M24,AA24,AI24)</f>
        <v>8</v>
      </c>
      <c r="AL24" s="38"/>
    </row>
    <row r="25" spans="1:38" ht="16.5" thickBot="1" x14ac:dyDescent="0.3">
      <c r="A25" s="50" t="s">
        <v>34</v>
      </c>
      <c r="B25" s="51"/>
      <c r="C25" s="52"/>
      <c r="D25" s="53">
        <f>SUM(D23,D24)</f>
        <v>0</v>
      </c>
      <c r="E25" s="53">
        <f t="shared" ref="E25:AK25" si="10">SUM(E23,E24)</f>
        <v>6</v>
      </c>
      <c r="F25" s="53">
        <f t="shared" si="10"/>
        <v>3</v>
      </c>
      <c r="G25" s="53">
        <f t="shared" si="10"/>
        <v>6</v>
      </c>
      <c r="H25" s="53">
        <f t="shared" si="10"/>
        <v>1</v>
      </c>
      <c r="I25" s="53">
        <f t="shared" si="10"/>
        <v>5</v>
      </c>
      <c r="J25" s="53">
        <f>SUM(J23,J24)</f>
        <v>1</v>
      </c>
      <c r="K25" s="75">
        <f t="shared" si="10"/>
        <v>6</v>
      </c>
      <c r="L25" s="55">
        <f t="shared" si="10"/>
        <v>5</v>
      </c>
      <c r="M25" s="76">
        <f t="shared" si="10"/>
        <v>23</v>
      </c>
      <c r="N25" s="77">
        <f t="shared" si="10"/>
        <v>0</v>
      </c>
      <c r="O25" s="77">
        <f t="shared" si="10"/>
        <v>0</v>
      </c>
      <c r="P25" s="77">
        <f t="shared" si="10"/>
        <v>0</v>
      </c>
      <c r="Q25" s="77">
        <f t="shared" si="10"/>
        <v>0</v>
      </c>
      <c r="R25" s="77">
        <f t="shared" si="10"/>
        <v>0</v>
      </c>
      <c r="S25" s="77">
        <f t="shared" si="10"/>
        <v>0</v>
      </c>
      <c r="T25" s="77">
        <f t="shared" si="10"/>
        <v>0</v>
      </c>
      <c r="U25" s="77">
        <f t="shared" si="10"/>
        <v>0</v>
      </c>
      <c r="V25" s="77">
        <f t="shared" si="10"/>
        <v>0</v>
      </c>
      <c r="W25" s="77">
        <f t="shared" si="10"/>
        <v>0</v>
      </c>
      <c r="X25" s="77">
        <f t="shared" si="10"/>
        <v>0</v>
      </c>
      <c r="Y25" s="78">
        <f t="shared" si="10"/>
        <v>0</v>
      </c>
      <c r="Z25" s="79">
        <f t="shared" si="10"/>
        <v>0</v>
      </c>
      <c r="AA25" s="80">
        <f t="shared" si="10"/>
        <v>0</v>
      </c>
      <c r="AB25" s="77">
        <f t="shared" si="10"/>
        <v>0</v>
      </c>
      <c r="AC25" s="77">
        <f t="shared" si="10"/>
        <v>0</v>
      </c>
      <c r="AD25" s="77">
        <f t="shared" si="10"/>
        <v>0</v>
      </c>
      <c r="AE25" s="77">
        <f t="shared" si="10"/>
        <v>0</v>
      </c>
      <c r="AF25" s="77">
        <f t="shared" si="10"/>
        <v>0</v>
      </c>
      <c r="AG25" s="78">
        <f t="shared" si="10"/>
        <v>0</v>
      </c>
      <c r="AH25" s="79">
        <f t="shared" si="10"/>
        <v>0</v>
      </c>
      <c r="AI25" s="80">
        <f t="shared" si="10"/>
        <v>0</v>
      </c>
      <c r="AJ25" s="53">
        <f t="shared" si="10"/>
        <v>5</v>
      </c>
      <c r="AK25" s="53">
        <f t="shared" si="10"/>
        <v>23</v>
      </c>
      <c r="AL25" s="50"/>
    </row>
    <row r="26" spans="1:38" ht="16.5" thickBot="1" x14ac:dyDescent="0.3">
      <c r="A26" s="81" t="s">
        <v>293</v>
      </c>
      <c r="B26" s="82"/>
      <c r="C26" s="83"/>
      <c r="D26" s="84">
        <f>SUM(D25,D22,D16,D9)</f>
        <v>23</v>
      </c>
      <c r="E26" s="85">
        <f t="shared" ref="E26:AK26" si="11">SUM(E25,E22,E16,E9)</f>
        <v>37</v>
      </c>
      <c r="F26" s="85">
        <f t="shared" si="11"/>
        <v>18</v>
      </c>
      <c r="G26" s="85">
        <f t="shared" si="11"/>
        <v>35</v>
      </c>
      <c r="H26" s="85">
        <f t="shared" si="11"/>
        <v>9</v>
      </c>
      <c r="I26" s="85">
        <f t="shared" si="11"/>
        <v>37</v>
      </c>
      <c r="J26" s="85">
        <f>SUM(J25,J22,J16,J9)</f>
        <v>7</v>
      </c>
      <c r="K26" s="86">
        <f t="shared" si="11"/>
        <v>38</v>
      </c>
      <c r="L26" s="87">
        <f t="shared" si="11"/>
        <v>57</v>
      </c>
      <c r="M26" s="88">
        <f t="shared" si="11"/>
        <v>147</v>
      </c>
      <c r="N26" s="89">
        <f t="shared" si="11"/>
        <v>0</v>
      </c>
      <c r="O26" s="90">
        <f t="shared" si="11"/>
        <v>0</v>
      </c>
      <c r="P26" s="90">
        <f t="shared" si="11"/>
        <v>0</v>
      </c>
      <c r="Q26" s="90">
        <f t="shared" si="11"/>
        <v>0</v>
      </c>
      <c r="R26" s="90">
        <f t="shared" si="11"/>
        <v>0</v>
      </c>
      <c r="S26" s="90">
        <f t="shared" si="11"/>
        <v>0</v>
      </c>
      <c r="T26" s="90">
        <f t="shared" si="11"/>
        <v>0</v>
      </c>
      <c r="U26" s="90">
        <f t="shared" si="11"/>
        <v>0</v>
      </c>
      <c r="V26" s="90">
        <f t="shared" si="11"/>
        <v>0</v>
      </c>
      <c r="W26" s="90">
        <f t="shared" si="11"/>
        <v>0</v>
      </c>
      <c r="X26" s="90">
        <f>SUM(X25,X22,X16,X9)</f>
        <v>0</v>
      </c>
      <c r="Y26" s="91">
        <f>SUM(Y25,Y22,Y16,Y9)</f>
        <v>0</v>
      </c>
      <c r="Z26" s="92">
        <f>SUM(Z25,Z22,Z16,Z9)</f>
        <v>0</v>
      </c>
      <c r="AA26" s="93">
        <f t="shared" si="11"/>
        <v>0</v>
      </c>
      <c r="AB26" s="89">
        <f t="shared" si="11"/>
        <v>0</v>
      </c>
      <c r="AC26" s="90">
        <f t="shared" si="11"/>
        <v>0</v>
      </c>
      <c r="AD26" s="90">
        <f t="shared" si="11"/>
        <v>0</v>
      </c>
      <c r="AE26" s="90">
        <f t="shared" si="11"/>
        <v>0</v>
      </c>
      <c r="AF26" s="90">
        <f t="shared" si="11"/>
        <v>0</v>
      </c>
      <c r="AG26" s="90">
        <f t="shared" si="11"/>
        <v>0</v>
      </c>
      <c r="AH26" s="92">
        <f t="shared" si="11"/>
        <v>0</v>
      </c>
      <c r="AI26" s="91">
        <f t="shared" si="11"/>
        <v>0</v>
      </c>
      <c r="AJ26" s="87">
        <f t="shared" si="11"/>
        <v>57</v>
      </c>
      <c r="AK26" s="88">
        <f t="shared" si="11"/>
        <v>147</v>
      </c>
      <c r="AL26" s="81"/>
    </row>
    <row r="27" spans="1:38" ht="16.5" thickBot="1" x14ac:dyDescent="0.3">
      <c r="A27" s="27" t="s">
        <v>36</v>
      </c>
      <c r="B27" s="94"/>
      <c r="C27" s="95"/>
      <c r="D27" s="96"/>
      <c r="E27" s="34"/>
      <c r="F27" s="34"/>
      <c r="G27" s="34"/>
      <c r="H27" s="34"/>
      <c r="I27" s="34"/>
      <c r="J27" s="34"/>
      <c r="K27" s="34"/>
      <c r="L27" s="35">
        <f>SUM(D27,F27,H27,J27)</f>
        <v>0</v>
      </c>
      <c r="M27" s="36">
        <f>SUM(E27,G27,I27,K27)</f>
        <v>0</v>
      </c>
      <c r="N27" s="31">
        <v>0</v>
      </c>
      <c r="O27" s="608">
        <f>'Anlage 1a'!O27</f>
        <v>3</v>
      </c>
      <c r="P27" s="117">
        <v>1</v>
      </c>
      <c r="Q27" s="608">
        <f>'Anlage 1a'!Q27</f>
        <v>2</v>
      </c>
      <c r="R27" s="117">
        <v>3</v>
      </c>
      <c r="S27" s="608">
        <f>'Anlage 1a'!S27</f>
        <v>2</v>
      </c>
      <c r="T27" s="117">
        <v>2</v>
      </c>
      <c r="U27" s="608">
        <f>'Anlage 1a'!U27</f>
        <v>2</v>
      </c>
      <c r="V27" s="117">
        <v>1</v>
      </c>
      <c r="W27" s="608">
        <f>'Anlage 1a'!W27</f>
        <v>2</v>
      </c>
      <c r="X27" s="117">
        <v>1</v>
      </c>
      <c r="Y27" s="608">
        <f>'Anlage 1a'!Y27</f>
        <v>2</v>
      </c>
      <c r="Z27" s="97">
        <f>SUM(N27,P27,R27,T27,V27,X27)</f>
        <v>8</v>
      </c>
      <c r="AA27" s="98">
        <f>SUM(O27,Q27,S27,U27,W27,Y27)</f>
        <v>13</v>
      </c>
      <c r="AB27" s="96"/>
      <c r="AC27" s="34"/>
      <c r="AD27" s="34"/>
      <c r="AE27" s="34"/>
      <c r="AF27" s="34"/>
      <c r="AG27" s="37"/>
      <c r="AH27" s="99"/>
      <c r="AI27" s="100"/>
      <c r="AJ27" s="32">
        <f>SUM(L27,Z27,AH27)</f>
        <v>8</v>
      </c>
      <c r="AK27" s="98">
        <f>SUM(M27,AA27,AI27)</f>
        <v>13</v>
      </c>
      <c r="AL27" s="27"/>
    </row>
    <row r="28" spans="1:38" ht="16.5" thickBot="1" x14ac:dyDescent="0.3">
      <c r="A28" s="101" t="s">
        <v>38</v>
      </c>
      <c r="B28" s="102"/>
      <c r="C28" s="103"/>
      <c r="D28" s="632"/>
      <c r="E28" s="633"/>
      <c r="F28" s="633"/>
      <c r="G28" s="633"/>
      <c r="H28" s="633"/>
      <c r="I28" s="633"/>
      <c r="J28" s="633"/>
      <c r="K28" s="633"/>
      <c r="L28" s="832"/>
      <c r="M28" s="833"/>
      <c r="N28" s="54">
        <f t="shared" ref="N28:AA28" si="12">SUM(N26:N27)</f>
        <v>0</v>
      </c>
      <c r="O28" s="54">
        <f t="shared" si="12"/>
        <v>3</v>
      </c>
      <c r="P28" s="54">
        <f t="shared" si="12"/>
        <v>1</v>
      </c>
      <c r="Q28" s="54">
        <f t="shared" si="12"/>
        <v>2</v>
      </c>
      <c r="R28" s="54">
        <f t="shared" si="12"/>
        <v>3</v>
      </c>
      <c r="S28" s="54">
        <f t="shared" si="12"/>
        <v>2</v>
      </c>
      <c r="T28" s="54">
        <f t="shared" si="12"/>
        <v>2</v>
      </c>
      <c r="U28" s="54">
        <f t="shared" si="12"/>
        <v>2</v>
      </c>
      <c r="V28" s="54">
        <f t="shared" si="12"/>
        <v>1</v>
      </c>
      <c r="W28" s="54">
        <f t="shared" si="12"/>
        <v>2</v>
      </c>
      <c r="X28" s="54">
        <f t="shared" si="12"/>
        <v>1</v>
      </c>
      <c r="Y28" s="104">
        <f t="shared" si="12"/>
        <v>2</v>
      </c>
      <c r="Z28" s="55">
        <f t="shared" si="12"/>
        <v>8</v>
      </c>
      <c r="AA28" s="56">
        <f t="shared" si="12"/>
        <v>13</v>
      </c>
      <c r="AB28" s="53"/>
      <c r="AC28" s="54"/>
      <c r="AD28" s="54"/>
      <c r="AE28" s="54"/>
      <c r="AF28" s="54"/>
      <c r="AG28" s="104"/>
      <c r="AH28" s="55"/>
      <c r="AI28" s="56"/>
      <c r="AJ28" s="55">
        <f>SUM(AJ27)</f>
        <v>8</v>
      </c>
      <c r="AK28" s="56">
        <f>AK27</f>
        <v>13</v>
      </c>
      <c r="AL28" s="101"/>
    </row>
    <row r="29" spans="1:38" ht="16.5" thickBot="1" x14ac:dyDescent="0.3">
      <c r="A29" s="61" t="s">
        <v>282</v>
      </c>
      <c r="B29" s="105"/>
      <c r="C29" s="106"/>
      <c r="D29" s="107"/>
      <c r="E29" s="68"/>
      <c r="F29" s="68"/>
      <c r="G29" s="68"/>
      <c r="H29" s="68"/>
      <c r="I29" s="68"/>
      <c r="J29" s="68"/>
      <c r="K29" s="71"/>
      <c r="L29" s="99"/>
      <c r="M29" s="100"/>
      <c r="N29" s="64">
        <v>0</v>
      </c>
      <c r="O29" s="609">
        <f>'Anlage 1a'!O29</f>
        <v>4</v>
      </c>
      <c r="P29" s="610">
        <v>0</v>
      </c>
      <c r="Q29" s="609">
        <f>'Anlage 1a'!Q29</f>
        <v>4</v>
      </c>
      <c r="R29" s="610">
        <v>0</v>
      </c>
      <c r="S29" s="609">
        <f>'Anlage 1a'!S29</f>
        <v>4</v>
      </c>
      <c r="T29" s="610">
        <v>0</v>
      </c>
      <c r="U29" s="609">
        <f>'Anlage 1a'!U29</f>
        <v>4</v>
      </c>
      <c r="V29" s="610">
        <v>0</v>
      </c>
      <c r="W29" s="609">
        <f>'Anlage 1a'!W29</f>
        <v>4</v>
      </c>
      <c r="X29" s="610">
        <v>0</v>
      </c>
      <c r="Y29" s="609">
        <f>'Anlage 1a'!Y29</f>
        <v>4</v>
      </c>
      <c r="Z29" s="66">
        <f>SUM(N29,P29,R29,T29,V29,X29)</f>
        <v>0</v>
      </c>
      <c r="AA29" s="67">
        <f>SUM(O29,Q29,S29,U29,W29,Y29)</f>
        <v>24</v>
      </c>
      <c r="AB29" s="107"/>
      <c r="AC29" s="68"/>
      <c r="AD29" s="68"/>
      <c r="AE29" s="68"/>
      <c r="AF29" s="68"/>
      <c r="AG29" s="71"/>
      <c r="AH29" s="69"/>
      <c r="AI29" s="70"/>
      <c r="AJ29" s="66">
        <f>SUM(L29,Z29,AH29)</f>
        <v>0</v>
      </c>
      <c r="AK29" s="67">
        <f>SUM(M29,AA29,AI29)</f>
        <v>24</v>
      </c>
      <c r="AL29" s="61"/>
    </row>
    <row r="30" spans="1:38" ht="16.5" hidden="1" thickBot="1" x14ac:dyDescent="0.3">
      <c r="A30" s="646" t="s">
        <v>177</v>
      </c>
      <c r="B30" s="647"/>
      <c r="C30" s="648"/>
      <c r="D30" s="649"/>
      <c r="E30" s="650"/>
      <c r="F30" s="650"/>
      <c r="G30" s="650"/>
      <c r="H30" s="650"/>
      <c r="I30" s="650"/>
      <c r="J30" s="650"/>
      <c r="K30" s="651"/>
      <c r="L30" s="652"/>
      <c r="M30" s="653"/>
      <c r="N30" s="654"/>
      <c r="O30" s="639"/>
      <c r="P30" s="639"/>
      <c r="Q30" s="639"/>
      <c r="R30" s="639"/>
      <c r="S30" s="639"/>
      <c r="T30" s="639"/>
      <c r="U30" s="639"/>
      <c r="V30" s="639"/>
      <c r="W30" s="639"/>
      <c r="X30" s="639"/>
      <c r="Y30" s="639"/>
      <c r="Z30" s="655"/>
      <c r="AA30" s="656"/>
      <c r="AB30" s="649"/>
      <c r="AC30" s="650"/>
      <c r="AD30" s="650"/>
      <c r="AE30" s="650"/>
      <c r="AF30" s="650"/>
      <c r="AG30" s="651"/>
      <c r="AH30" s="652"/>
      <c r="AI30" s="653"/>
      <c r="AJ30" s="655"/>
      <c r="AK30" s="656"/>
      <c r="AL30" s="38"/>
    </row>
    <row r="31" spans="1:38" ht="16.5" thickBot="1" x14ac:dyDescent="0.3">
      <c r="A31" s="101" t="s">
        <v>55</v>
      </c>
      <c r="B31" s="102"/>
      <c r="C31" s="103"/>
      <c r="D31" s="632"/>
      <c r="E31" s="633"/>
      <c r="F31" s="633"/>
      <c r="G31" s="633"/>
      <c r="H31" s="633"/>
      <c r="I31" s="633"/>
      <c r="J31" s="633"/>
      <c r="K31" s="834"/>
      <c r="L31" s="832"/>
      <c r="M31" s="833"/>
      <c r="N31" s="53">
        <f t="shared" ref="N31:AA31" si="13">SUM(N29:N30)</f>
        <v>0</v>
      </c>
      <c r="O31" s="54">
        <f t="shared" si="13"/>
        <v>4</v>
      </c>
      <c r="P31" s="54">
        <f t="shared" si="13"/>
        <v>0</v>
      </c>
      <c r="Q31" s="54">
        <f t="shared" si="13"/>
        <v>4</v>
      </c>
      <c r="R31" s="54">
        <f t="shared" si="13"/>
        <v>0</v>
      </c>
      <c r="S31" s="54">
        <f t="shared" si="13"/>
        <v>4</v>
      </c>
      <c r="T31" s="54">
        <f t="shared" si="13"/>
        <v>0</v>
      </c>
      <c r="U31" s="54">
        <f t="shared" si="13"/>
        <v>4</v>
      </c>
      <c r="V31" s="54">
        <f t="shared" si="13"/>
        <v>0</v>
      </c>
      <c r="W31" s="54">
        <f t="shared" si="13"/>
        <v>4</v>
      </c>
      <c r="X31" s="54">
        <f t="shared" si="13"/>
        <v>0</v>
      </c>
      <c r="Y31" s="104">
        <f t="shared" si="13"/>
        <v>4</v>
      </c>
      <c r="Z31" s="55">
        <f t="shared" si="13"/>
        <v>0</v>
      </c>
      <c r="AA31" s="56">
        <f t="shared" si="13"/>
        <v>24</v>
      </c>
      <c r="AB31" s="53"/>
      <c r="AC31" s="54"/>
      <c r="AD31" s="54"/>
      <c r="AE31" s="54"/>
      <c r="AF31" s="54"/>
      <c r="AG31" s="104"/>
      <c r="AH31" s="55"/>
      <c r="AI31" s="56"/>
      <c r="AJ31" s="55">
        <f>SUM(AJ29:AJ30)</f>
        <v>0</v>
      </c>
      <c r="AK31" s="56">
        <f>SUM(AK29:AK30)</f>
        <v>24</v>
      </c>
      <c r="AL31" s="101"/>
    </row>
    <row r="32" spans="1:38" ht="15.75" x14ac:dyDescent="0.25">
      <c r="A32" s="61" t="s">
        <v>39</v>
      </c>
      <c r="B32" s="105"/>
      <c r="C32" s="106"/>
      <c r="D32" s="107"/>
      <c r="E32" s="68"/>
      <c r="F32" s="68"/>
      <c r="G32" s="68"/>
      <c r="H32" s="68"/>
      <c r="I32" s="68"/>
      <c r="J32" s="68"/>
      <c r="K32" s="71"/>
      <c r="L32" s="69">
        <f t="shared" ref="L32:M35" si="14">SUM(D32,F32,H32,J32)</f>
        <v>0</v>
      </c>
      <c r="M32" s="70">
        <f t="shared" si="14"/>
        <v>0</v>
      </c>
      <c r="N32" s="64">
        <v>0</v>
      </c>
      <c r="O32" s="609">
        <f>'Anlage 1a'!O32</f>
        <v>2</v>
      </c>
      <c r="P32" s="610">
        <v>1</v>
      </c>
      <c r="Q32" s="609">
        <f>'Anlage 1a'!Q32</f>
        <v>2</v>
      </c>
      <c r="R32" s="610">
        <v>0</v>
      </c>
      <c r="S32" s="609">
        <f>'Anlage 1a'!S32</f>
        <v>2</v>
      </c>
      <c r="T32" s="610">
        <v>0</v>
      </c>
      <c r="U32" s="609">
        <f>'Anlage 1a'!U32</f>
        <v>3</v>
      </c>
      <c r="V32" s="610">
        <v>0</v>
      </c>
      <c r="W32" s="609">
        <f>'Anlage 1a'!W32</f>
        <v>3</v>
      </c>
      <c r="X32" s="609"/>
      <c r="Y32" s="609">
        <f>'Anlage 1a'!Y32</f>
        <v>0</v>
      </c>
      <c r="Z32" s="66">
        <f t="shared" ref="Z32:AA35" si="15">SUM(N32,P32,R32,T32,V32,X32)</f>
        <v>1</v>
      </c>
      <c r="AA32" s="67">
        <f t="shared" si="15"/>
        <v>12</v>
      </c>
      <c r="AB32" s="64">
        <v>0</v>
      </c>
      <c r="AC32" s="109">
        <f>'Anlage 1a'!AC32</f>
        <v>5</v>
      </c>
      <c r="AD32" s="610">
        <v>0</v>
      </c>
      <c r="AE32" s="109">
        <f>'Anlage 1a'!AE32</f>
        <v>4</v>
      </c>
      <c r="AF32" s="610">
        <v>0</v>
      </c>
      <c r="AG32" s="109">
        <f>'Anlage 1a'!AG32</f>
        <v>4</v>
      </c>
      <c r="AH32" s="32">
        <f>SUM(AB32,AD32,AF32)</f>
        <v>0</v>
      </c>
      <c r="AI32" s="110">
        <f>'Anlage 1a'!AI32</f>
        <v>13</v>
      </c>
      <c r="AJ32" s="66">
        <f>SUM(L32,Z32,AH32)</f>
        <v>1</v>
      </c>
      <c r="AK32" s="67">
        <f>SUM(M32,AA32,AI32)</f>
        <v>25</v>
      </c>
      <c r="AL32" s="61"/>
    </row>
    <row r="33" spans="1:38" ht="15.75" x14ac:dyDescent="0.25">
      <c r="A33" s="27" t="s">
        <v>40</v>
      </c>
      <c r="B33" s="111"/>
      <c r="C33" s="112"/>
      <c r="D33" s="96"/>
      <c r="E33" s="34"/>
      <c r="F33" s="34"/>
      <c r="G33" s="34"/>
      <c r="H33" s="34"/>
      <c r="I33" s="34"/>
      <c r="J33" s="34"/>
      <c r="K33" s="37"/>
      <c r="L33" s="35">
        <f t="shared" si="14"/>
        <v>0</v>
      </c>
      <c r="M33" s="36">
        <f t="shared" si="14"/>
        <v>0</v>
      </c>
      <c r="N33" s="30">
        <v>0</v>
      </c>
      <c r="O33" s="609">
        <f>'Anlage 1a'!O33</f>
        <v>5</v>
      </c>
      <c r="P33" s="610">
        <v>0</v>
      </c>
      <c r="Q33" s="609">
        <f>'Anlage 1a'!Q33</f>
        <v>5</v>
      </c>
      <c r="R33" s="610">
        <v>0</v>
      </c>
      <c r="S33" s="609">
        <f>'Anlage 1a'!S33</f>
        <v>5</v>
      </c>
      <c r="T33" s="610">
        <v>0</v>
      </c>
      <c r="U33" s="609">
        <f>'Anlage 1a'!U33</f>
        <v>5</v>
      </c>
      <c r="V33" s="610">
        <v>0</v>
      </c>
      <c r="W33" s="609">
        <f>'Anlage 1a'!W33</f>
        <v>5</v>
      </c>
      <c r="X33" s="609"/>
      <c r="Y33" s="609">
        <f>'Anlage 1a'!Y33</f>
        <v>0</v>
      </c>
      <c r="Z33" s="66">
        <f t="shared" si="15"/>
        <v>0</v>
      </c>
      <c r="AA33" s="33">
        <f t="shared" si="15"/>
        <v>25</v>
      </c>
      <c r="AB33" s="30">
        <v>0</v>
      </c>
      <c r="AC33" s="109">
        <f>'Anlage 1a'!AC33</f>
        <v>7</v>
      </c>
      <c r="AD33" s="610">
        <v>0</v>
      </c>
      <c r="AE33" s="109">
        <f>'Anlage 1a'!AE33</f>
        <v>9</v>
      </c>
      <c r="AF33" s="610">
        <v>0</v>
      </c>
      <c r="AG33" s="109">
        <f>'Anlage 1a'!AG33</f>
        <v>7</v>
      </c>
      <c r="AH33" s="32">
        <f>SUM(AB33,AD33,AF33)</f>
        <v>0</v>
      </c>
      <c r="AI33" s="110">
        <f>'Anlage 1a'!AI33</f>
        <v>23</v>
      </c>
      <c r="AJ33" s="32">
        <f>SUM(Z33+AH33)</f>
        <v>0</v>
      </c>
      <c r="AK33" s="33">
        <f>SUM(M33,AA33,AI33)</f>
        <v>48</v>
      </c>
      <c r="AL33" s="27"/>
    </row>
    <row r="34" spans="1:38" ht="15.75" x14ac:dyDescent="0.25">
      <c r="A34" s="27" t="s">
        <v>41</v>
      </c>
      <c r="B34" s="111"/>
      <c r="C34" s="112"/>
      <c r="D34" s="96"/>
      <c r="E34" s="34"/>
      <c r="F34" s="34"/>
      <c r="G34" s="34"/>
      <c r="H34" s="34"/>
      <c r="I34" s="34"/>
      <c r="J34" s="34"/>
      <c r="K34" s="37"/>
      <c r="L34" s="35">
        <f t="shared" si="14"/>
        <v>0</v>
      </c>
      <c r="M34" s="36">
        <f t="shared" si="14"/>
        <v>0</v>
      </c>
      <c r="N34" s="30">
        <v>1</v>
      </c>
      <c r="O34" s="609">
        <f>'Anlage 1a'!O34</f>
        <v>4</v>
      </c>
      <c r="P34" s="610">
        <v>1</v>
      </c>
      <c r="Q34" s="609">
        <f>'Anlage 1a'!Q34</f>
        <v>5</v>
      </c>
      <c r="R34" s="610">
        <v>2</v>
      </c>
      <c r="S34" s="609">
        <f>'Anlage 1a'!S34</f>
        <v>4</v>
      </c>
      <c r="T34" s="610">
        <v>3</v>
      </c>
      <c r="U34" s="609">
        <f>'Anlage 1a'!U34</f>
        <v>4</v>
      </c>
      <c r="V34" s="610">
        <v>2</v>
      </c>
      <c r="W34" s="609">
        <f>'Anlage 1a'!W34</f>
        <v>4</v>
      </c>
      <c r="X34" s="609"/>
      <c r="Y34" s="609">
        <f>'Anlage 1a'!Y34</f>
        <v>0</v>
      </c>
      <c r="Z34" s="32">
        <f t="shared" si="15"/>
        <v>9</v>
      </c>
      <c r="AA34" s="33">
        <f t="shared" si="15"/>
        <v>21</v>
      </c>
      <c r="AB34" s="30">
        <v>0</v>
      </c>
      <c r="AC34" s="109">
        <f>'Anlage 1a'!AC34</f>
        <v>5</v>
      </c>
      <c r="AD34" s="610">
        <v>0</v>
      </c>
      <c r="AE34" s="109">
        <f>'Anlage 1a'!AE34</f>
        <v>5</v>
      </c>
      <c r="AF34" s="610">
        <v>0</v>
      </c>
      <c r="AG34" s="109">
        <f>'Anlage 1a'!AG34</f>
        <v>5</v>
      </c>
      <c r="AH34" s="32">
        <f>SUM(AB34,AD34,AF34)</f>
        <v>0</v>
      </c>
      <c r="AI34" s="110">
        <f>'Anlage 1a'!AI34</f>
        <v>15</v>
      </c>
      <c r="AJ34" s="32">
        <f>SUM(L34,Z34,AH34)</f>
        <v>9</v>
      </c>
      <c r="AK34" s="33">
        <f>SUM(M34,AA34,AI34)</f>
        <v>36</v>
      </c>
      <c r="AL34" s="27"/>
    </row>
    <row r="35" spans="1:38" ht="16.5" thickBot="1" x14ac:dyDescent="0.3">
      <c r="A35" s="27" t="s">
        <v>42</v>
      </c>
      <c r="B35" s="111"/>
      <c r="C35" s="112"/>
      <c r="D35" s="96"/>
      <c r="E35" s="34"/>
      <c r="F35" s="34"/>
      <c r="G35" s="34"/>
      <c r="H35" s="34"/>
      <c r="I35" s="34"/>
      <c r="J35" s="34"/>
      <c r="K35" s="37"/>
      <c r="L35" s="35">
        <f t="shared" si="14"/>
        <v>0</v>
      </c>
      <c r="M35" s="36">
        <f t="shared" si="14"/>
        <v>0</v>
      </c>
      <c r="N35" s="30">
        <v>0</v>
      </c>
      <c r="O35" s="609">
        <f>'Anlage 1a'!O35</f>
        <v>3</v>
      </c>
      <c r="P35" s="610">
        <v>0</v>
      </c>
      <c r="Q35" s="609">
        <f>'Anlage 1a'!Q35</f>
        <v>4</v>
      </c>
      <c r="R35" s="610">
        <v>0</v>
      </c>
      <c r="S35" s="609">
        <f>'Anlage 1a'!S35</f>
        <v>4</v>
      </c>
      <c r="T35" s="610">
        <v>0</v>
      </c>
      <c r="U35" s="609">
        <f>'Anlage 1a'!U35</f>
        <v>4</v>
      </c>
      <c r="V35" s="610">
        <v>0</v>
      </c>
      <c r="W35" s="609">
        <f>'Anlage 1a'!W35</f>
        <v>4</v>
      </c>
      <c r="X35" s="609"/>
      <c r="Y35" s="609">
        <f>'Anlage 1a'!Y35</f>
        <v>0</v>
      </c>
      <c r="Z35" s="113">
        <f t="shared" si="15"/>
        <v>0</v>
      </c>
      <c r="AA35" s="114">
        <f t="shared" si="15"/>
        <v>19</v>
      </c>
      <c r="AB35" s="30"/>
      <c r="AC35" s="109">
        <f>'Anlage 1a'!AC35</f>
        <v>5</v>
      </c>
      <c r="AD35" s="610"/>
      <c r="AE35" s="109">
        <f>'Anlage 1a'!AE35</f>
        <v>5</v>
      </c>
      <c r="AF35" s="610"/>
      <c r="AG35" s="109">
        <f>'Anlage 1a'!AG35</f>
        <v>4</v>
      </c>
      <c r="AH35" s="113">
        <f>SUM(AB35,AD35,AF35)</f>
        <v>0</v>
      </c>
      <c r="AI35" s="110">
        <f>'Anlage 1a'!AI35</f>
        <v>14</v>
      </c>
      <c r="AJ35" s="113">
        <f>SUM(L35,Z35,AH35)</f>
        <v>0</v>
      </c>
      <c r="AK35" s="114">
        <f>SUM(M35,AA35,AI35)</f>
        <v>33</v>
      </c>
      <c r="AL35" s="27"/>
    </row>
    <row r="36" spans="1:38" ht="16.5" thickBot="1" x14ac:dyDescent="0.3">
      <c r="A36" s="50" t="s">
        <v>43</v>
      </c>
      <c r="B36" s="115"/>
      <c r="C36" s="116"/>
      <c r="D36" s="835">
        <f t="shared" ref="D36:AK36" si="16">SUM(D32,D33,D34:D35)</f>
        <v>0</v>
      </c>
      <c r="E36" s="836">
        <f t="shared" si="16"/>
        <v>0</v>
      </c>
      <c r="F36" s="836">
        <f t="shared" si="16"/>
        <v>0</v>
      </c>
      <c r="G36" s="836">
        <f t="shared" si="16"/>
        <v>0</v>
      </c>
      <c r="H36" s="836">
        <f t="shared" si="16"/>
        <v>0</v>
      </c>
      <c r="I36" s="836">
        <f t="shared" si="16"/>
        <v>0</v>
      </c>
      <c r="J36" s="836">
        <f t="shared" si="16"/>
        <v>0</v>
      </c>
      <c r="K36" s="837">
        <f t="shared" si="16"/>
        <v>0</v>
      </c>
      <c r="L36" s="838"/>
      <c r="M36" s="839"/>
      <c r="N36" s="53">
        <f t="shared" si="16"/>
        <v>1</v>
      </c>
      <c r="O36" s="54">
        <f t="shared" si="16"/>
        <v>14</v>
      </c>
      <c r="P36" s="54">
        <f t="shared" si="16"/>
        <v>2</v>
      </c>
      <c r="Q36" s="54">
        <f t="shared" si="16"/>
        <v>16</v>
      </c>
      <c r="R36" s="54">
        <f t="shared" si="16"/>
        <v>2</v>
      </c>
      <c r="S36" s="54">
        <f t="shared" si="16"/>
        <v>15</v>
      </c>
      <c r="T36" s="54">
        <f t="shared" si="16"/>
        <v>3</v>
      </c>
      <c r="U36" s="54">
        <f t="shared" si="16"/>
        <v>16</v>
      </c>
      <c r="V36" s="54">
        <f t="shared" si="16"/>
        <v>2</v>
      </c>
      <c r="W36" s="54">
        <f t="shared" si="16"/>
        <v>16</v>
      </c>
      <c r="X36" s="54">
        <f t="shared" si="16"/>
        <v>0</v>
      </c>
      <c r="Y36" s="54">
        <f t="shared" si="16"/>
        <v>0</v>
      </c>
      <c r="Z36" s="55">
        <f t="shared" si="16"/>
        <v>10</v>
      </c>
      <c r="AA36" s="56">
        <f t="shared" si="16"/>
        <v>77</v>
      </c>
      <c r="AB36" s="54">
        <f t="shared" si="16"/>
        <v>0</v>
      </c>
      <c r="AC36" s="54">
        <f>SUM(AC32:AC35)</f>
        <v>22</v>
      </c>
      <c r="AD36" s="54">
        <f t="shared" si="16"/>
        <v>0</v>
      </c>
      <c r="AE36" s="54">
        <f>SUM(AE32:AE35)</f>
        <v>23</v>
      </c>
      <c r="AF36" s="54">
        <f t="shared" si="16"/>
        <v>0</v>
      </c>
      <c r="AG36" s="54">
        <f>SUM(AG32:AG35)</f>
        <v>20</v>
      </c>
      <c r="AH36" s="55">
        <f t="shared" si="16"/>
        <v>0</v>
      </c>
      <c r="AI36" s="104">
        <f t="shared" si="16"/>
        <v>65</v>
      </c>
      <c r="AJ36" s="55">
        <f t="shared" si="16"/>
        <v>10</v>
      </c>
      <c r="AK36" s="56">
        <f t="shared" si="16"/>
        <v>142</v>
      </c>
      <c r="AL36" s="50"/>
    </row>
    <row r="37" spans="1:38" ht="15.75" x14ac:dyDescent="0.25">
      <c r="A37" s="27" t="s">
        <v>295</v>
      </c>
      <c r="B37" s="111"/>
      <c r="C37" s="112"/>
      <c r="D37" s="96"/>
      <c r="E37" s="34"/>
      <c r="F37" s="34"/>
      <c r="G37" s="34"/>
      <c r="H37" s="34"/>
      <c r="I37" s="34"/>
      <c r="J37" s="34"/>
      <c r="K37" s="34"/>
      <c r="L37" s="35">
        <f>SUM(D37,F37,H37,J37)</f>
        <v>0</v>
      </c>
      <c r="M37" s="36">
        <f>SUM(E37,G37,I37,K37)</f>
        <v>0</v>
      </c>
      <c r="N37" s="117">
        <v>0</v>
      </c>
      <c r="O37" s="608">
        <f>'Anlage 1a'!O37</f>
        <v>5</v>
      </c>
      <c r="P37" s="117">
        <v>0</v>
      </c>
      <c r="Q37" s="608">
        <f>'Anlage 1a'!Q37</f>
        <v>5</v>
      </c>
      <c r="R37" s="117">
        <v>0</v>
      </c>
      <c r="S37" s="608">
        <f>'Anlage 1a'!S37</f>
        <v>5</v>
      </c>
      <c r="T37" s="117">
        <v>0</v>
      </c>
      <c r="U37" s="608">
        <f>'Anlage 1a'!U37</f>
        <v>5</v>
      </c>
      <c r="V37" s="117">
        <v>0</v>
      </c>
      <c r="W37" s="608">
        <f>'Anlage 1a'!W37</f>
        <v>5</v>
      </c>
      <c r="X37" s="117">
        <v>0</v>
      </c>
      <c r="Y37" s="608">
        <f>'Anlage 1a'!Y37</f>
        <v>4</v>
      </c>
      <c r="Z37" s="32">
        <f t="shared" ref="Z37:AA39" si="17">SUM(N37,P37,R37,T37,V37,X37)</f>
        <v>0</v>
      </c>
      <c r="AA37" s="33">
        <f t="shared" si="17"/>
        <v>29</v>
      </c>
      <c r="AB37" s="117">
        <v>0</v>
      </c>
      <c r="AC37" s="109">
        <f>'Anlage 1a'!AC37</f>
        <v>4</v>
      </c>
      <c r="AD37" s="610">
        <v>0</v>
      </c>
      <c r="AE37" s="109">
        <f>'Anlage 1a'!AE37</f>
        <v>2</v>
      </c>
      <c r="AF37" s="610">
        <v>0</v>
      </c>
      <c r="AG37" s="109">
        <f>'Anlage 1a'!AG37</f>
        <v>3</v>
      </c>
      <c r="AH37" s="97">
        <f>SUM(AB37,AD37,AF37)</f>
        <v>0</v>
      </c>
      <c r="AI37" s="110">
        <f>'Anlage 1a'!AI37</f>
        <v>9</v>
      </c>
      <c r="AJ37" s="32">
        <f t="shared" ref="AJ37:AK39" si="18">SUM(L37,Z37,AH37)</f>
        <v>0</v>
      </c>
      <c r="AK37" s="33">
        <f t="shared" si="18"/>
        <v>38</v>
      </c>
      <c r="AL37" s="27"/>
    </row>
    <row r="38" spans="1:38" ht="15.75" x14ac:dyDescent="0.25">
      <c r="A38" s="27" t="s">
        <v>284</v>
      </c>
      <c r="B38" s="111"/>
      <c r="C38" s="112"/>
      <c r="D38" s="96"/>
      <c r="E38" s="34"/>
      <c r="F38" s="34"/>
      <c r="G38" s="34"/>
      <c r="H38" s="34"/>
      <c r="I38" s="34"/>
      <c r="J38" s="34"/>
      <c r="K38" s="34"/>
      <c r="L38" s="35">
        <f>SUM(D38,F38,H38,J38)</f>
        <v>0</v>
      </c>
      <c r="M38" s="36">
        <f>SUM(E38,G38,I38,K38)</f>
        <v>0</v>
      </c>
      <c r="N38" s="31">
        <v>0</v>
      </c>
      <c r="O38" s="608">
        <f>'Anlage 1a'!O38</f>
        <v>5</v>
      </c>
      <c r="P38" s="117">
        <v>0</v>
      </c>
      <c r="Q38" s="608">
        <f>'Anlage 1a'!Q38</f>
        <v>4</v>
      </c>
      <c r="R38" s="117">
        <v>0</v>
      </c>
      <c r="S38" s="608">
        <f>'Anlage 1a'!S38</f>
        <v>4</v>
      </c>
      <c r="T38" s="117">
        <v>0</v>
      </c>
      <c r="U38" s="608">
        <f>'Anlage 1a'!U38</f>
        <v>5</v>
      </c>
      <c r="V38" s="117">
        <v>0</v>
      </c>
      <c r="W38" s="608">
        <f>'Anlage 1a'!W38</f>
        <v>5</v>
      </c>
      <c r="X38" s="117">
        <v>0</v>
      </c>
      <c r="Y38" s="608">
        <f>'Anlage 1a'!Y38</f>
        <v>5</v>
      </c>
      <c r="Z38" s="32">
        <f t="shared" si="17"/>
        <v>0</v>
      </c>
      <c r="AA38" s="33">
        <f t="shared" si="17"/>
        <v>28</v>
      </c>
      <c r="AB38" s="31">
        <v>0</v>
      </c>
      <c r="AC38" s="109">
        <f>'Anlage 1a'!AC38</f>
        <v>3</v>
      </c>
      <c r="AD38" s="610">
        <v>0</v>
      </c>
      <c r="AE38" s="109">
        <f>'Anlage 1a'!AE38</f>
        <v>3</v>
      </c>
      <c r="AF38" s="610">
        <v>0</v>
      </c>
      <c r="AG38" s="109">
        <f>'Anlage 1a'!AG38</f>
        <v>3</v>
      </c>
      <c r="AH38" s="32">
        <f>SUM(AB38,AD38,AF38)</f>
        <v>0</v>
      </c>
      <c r="AI38" s="110">
        <f>'Anlage 1a'!AI38</f>
        <v>9</v>
      </c>
      <c r="AJ38" s="32">
        <f t="shared" si="18"/>
        <v>0</v>
      </c>
      <c r="AK38" s="33">
        <f t="shared" si="18"/>
        <v>37</v>
      </c>
      <c r="AL38" s="27"/>
    </row>
    <row r="39" spans="1:38" ht="16.5" thickBot="1" x14ac:dyDescent="0.3">
      <c r="A39" s="27" t="s">
        <v>296</v>
      </c>
      <c r="B39" s="111"/>
      <c r="C39" s="112"/>
      <c r="D39" s="96"/>
      <c r="E39" s="34"/>
      <c r="F39" s="34"/>
      <c r="G39" s="34"/>
      <c r="H39" s="34"/>
      <c r="I39" s="34"/>
      <c r="J39" s="34"/>
      <c r="K39" s="34"/>
      <c r="L39" s="35">
        <f>SUM(D39,F39,H39,J39)</f>
        <v>0</v>
      </c>
      <c r="M39" s="36">
        <v>0</v>
      </c>
      <c r="N39" s="31">
        <v>0</v>
      </c>
      <c r="O39" s="608">
        <f>'Anlage 1a'!O39</f>
        <v>4</v>
      </c>
      <c r="P39" s="117">
        <v>0</v>
      </c>
      <c r="Q39" s="608">
        <f>'Anlage 1a'!Q39</f>
        <v>4</v>
      </c>
      <c r="R39" s="117">
        <v>0</v>
      </c>
      <c r="S39" s="608">
        <f>'Anlage 1a'!S39</f>
        <v>4</v>
      </c>
      <c r="T39" s="117">
        <v>0</v>
      </c>
      <c r="U39" s="608">
        <f>'Anlage 1a'!U39</f>
        <v>4</v>
      </c>
      <c r="V39" s="117">
        <v>0</v>
      </c>
      <c r="W39" s="608">
        <f>'Anlage 1a'!W39</f>
        <v>4</v>
      </c>
      <c r="X39" s="117">
        <v>0</v>
      </c>
      <c r="Y39" s="608">
        <f>'Anlage 1a'!Y39</f>
        <v>4</v>
      </c>
      <c r="Z39" s="32">
        <f t="shared" si="17"/>
        <v>0</v>
      </c>
      <c r="AA39" s="33">
        <f t="shared" si="17"/>
        <v>24</v>
      </c>
      <c r="AB39" s="31">
        <v>0</v>
      </c>
      <c r="AC39" s="109">
        <f>'Anlage 1a'!AC39</f>
        <v>5</v>
      </c>
      <c r="AD39" s="610">
        <v>0</v>
      </c>
      <c r="AE39" s="109">
        <f>'Anlage 1a'!AE39</f>
        <v>5</v>
      </c>
      <c r="AF39" s="610">
        <v>0</v>
      </c>
      <c r="AG39" s="109">
        <f>'Anlage 1a'!AG39</f>
        <v>4</v>
      </c>
      <c r="AH39" s="113">
        <f>SUM(AB39,AD39,AF39)</f>
        <v>0</v>
      </c>
      <c r="AI39" s="110">
        <f>'Anlage 1a'!AI39</f>
        <v>14</v>
      </c>
      <c r="AJ39" s="32">
        <f t="shared" si="18"/>
        <v>0</v>
      </c>
      <c r="AK39" s="33">
        <f t="shared" si="18"/>
        <v>38</v>
      </c>
      <c r="AL39" s="27"/>
    </row>
    <row r="40" spans="1:38" ht="16.5" thickBot="1" x14ac:dyDescent="0.3">
      <c r="A40" s="50" t="s">
        <v>46</v>
      </c>
      <c r="B40" s="115"/>
      <c r="C40" s="116"/>
      <c r="D40" s="835"/>
      <c r="E40" s="836">
        <f t="shared" ref="E40:AK40" si="19">SUM(E37:E39)</f>
        <v>0</v>
      </c>
      <c r="F40" s="836">
        <f t="shared" si="19"/>
        <v>0</v>
      </c>
      <c r="G40" s="836">
        <f t="shared" si="19"/>
        <v>0</v>
      </c>
      <c r="H40" s="836">
        <f t="shared" si="19"/>
        <v>0</v>
      </c>
      <c r="I40" s="836">
        <f t="shared" si="19"/>
        <v>0</v>
      </c>
      <c r="J40" s="836">
        <f t="shared" si="19"/>
        <v>0</v>
      </c>
      <c r="K40" s="836">
        <f t="shared" si="19"/>
        <v>0</v>
      </c>
      <c r="L40" s="838">
        <f t="shared" si="19"/>
        <v>0</v>
      </c>
      <c r="M40" s="839">
        <f t="shared" si="19"/>
        <v>0</v>
      </c>
      <c r="N40" s="54">
        <f t="shared" si="19"/>
        <v>0</v>
      </c>
      <c r="O40" s="54">
        <f t="shared" si="19"/>
        <v>14</v>
      </c>
      <c r="P40" s="54">
        <f t="shared" si="19"/>
        <v>0</v>
      </c>
      <c r="Q40" s="54">
        <f t="shared" si="19"/>
        <v>13</v>
      </c>
      <c r="R40" s="54">
        <f t="shared" si="19"/>
        <v>0</v>
      </c>
      <c r="S40" s="54">
        <f t="shared" si="19"/>
        <v>13</v>
      </c>
      <c r="T40" s="54">
        <f t="shared" si="19"/>
        <v>0</v>
      </c>
      <c r="U40" s="54">
        <f t="shared" si="19"/>
        <v>14</v>
      </c>
      <c r="V40" s="54">
        <f t="shared" si="19"/>
        <v>0</v>
      </c>
      <c r="W40" s="54">
        <f t="shared" si="19"/>
        <v>14</v>
      </c>
      <c r="X40" s="54">
        <f t="shared" si="19"/>
        <v>0</v>
      </c>
      <c r="Y40" s="54">
        <f t="shared" si="19"/>
        <v>13</v>
      </c>
      <c r="Z40" s="55">
        <f t="shared" si="19"/>
        <v>0</v>
      </c>
      <c r="AA40" s="56">
        <f t="shared" si="19"/>
        <v>81</v>
      </c>
      <c r="AB40" s="54">
        <f t="shared" si="19"/>
        <v>0</v>
      </c>
      <c r="AC40" s="54">
        <f>SUM(AC37:AC39)</f>
        <v>12</v>
      </c>
      <c r="AD40" s="54">
        <f t="shared" si="19"/>
        <v>0</v>
      </c>
      <c r="AE40" s="54">
        <f>SUM(AE37:AE39)</f>
        <v>10</v>
      </c>
      <c r="AF40" s="54">
        <f t="shared" si="19"/>
        <v>0</v>
      </c>
      <c r="AG40" s="54">
        <f>SUM(AG37:AG39)</f>
        <v>10</v>
      </c>
      <c r="AH40" s="55">
        <f t="shared" si="19"/>
        <v>0</v>
      </c>
      <c r="AI40" s="104">
        <f t="shared" si="19"/>
        <v>32</v>
      </c>
      <c r="AJ40" s="55">
        <f t="shared" si="19"/>
        <v>0</v>
      </c>
      <c r="AK40" s="56">
        <f t="shared" si="19"/>
        <v>113</v>
      </c>
      <c r="AL40" s="50"/>
    </row>
    <row r="41" spans="1:38" ht="16.5" thickBot="1" x14ac:dyDescent="0.3">
      <c r="A41" s="81" t="s">
        <v>47</v>
      </c>
      <c r="B41" s="82"/>
      <c r="C41" s="118"/>
      <c r="D41" s="89">
        <f t="shared" ref="D41:AB41" si="20">SUM(D28,D31,D36,D40)</f>
        <v>0</v>
      </c>
      <c r="E41" s="90">
        <f t="shared" si="20"/>
        <v>0</v>
      </c>
      <c r="F41" s="90">
        <f t="shared" si="20"/>
        <v>0</v>
      </c>
      <c r="G41" s="90">
        <f t="shared" si="20"/>
        <v>0</v>
      </c>
      <c r="H41" s="90">
        <f t="shared" si="20"/>
        <v>0</v>
      </c>
      <c r="I41" s="90">
        <f t="shared" si="20"/>
        <v>0</v>
      </c>
      <c r="J41" s="90">
        <f t="shared" si="20"/>
        <v>0</v>
      </c>
      <c r="K41" s="90">
        <f t="shared" si="20"/>
        <v>0</v>
      </c>
      <c r="L41" s="92">
        <f t="shared" si="20"/>
        <v>0</v>
      </c>
      <c r="M41" s="93">
        <f t="shared" si="20"/>
        <v>0</v>
      </c>
      <c r="N41" s="85">
        <f t="shared" si="20"/>
        <v>1</v>
      </c>
      <c r="O41" s="85">
        <f t="shared" si="20"/>
        <v>35</v>
      </c>
      <c r="P41" s="85">
        <f t="shared" si="20"/>
        <v>3</v>
      </c>
      <c r="Q41" s="85">
        <f t="shared" si="20"/>
        <v>35</v>
      </c>
      <c r="R41" s="85">
        <f t="shared" si="20"/>
        <v>5</v>
      </c>
      <c r="S41" s="85">
        <f t="shared" si="20"/>
        <v>34</v>
      </c>
      <c r="T41" s="85">
        <f t="shared" si="20"/>
        <v>5</v>
      </c>
      <c r="U41" s="85">
        <f t="shared" si="20"/>
        <v>36</v>
      </c>
      <c r="V41" s="85">
        <f t="shared" si="20"/>
        <v>3</v>
      </c>
      <c r="W41" s="85">
        <f t="shared" si="20"/>
        <v>36</v>
      </c>
      <c r="X41" s="85">
        <f t="shared" si="20"/>
        <v>1</v>
      </c>
      <c r="Y41" s="85">
        <f t="shared" si="20"/>
        <v>19</v>
      </c>
      <c r="Z41" s="87">
        <f t="shared" si="20"/>
        <v>18</v>
      </c>
      <c r="AA41" s="88">
        <f t="shared" si="20"/>
        <v>195</v>
      </c>
      <c r="AB41" s="85">
        <f t="shared" si="20"/>
        <v>0</v>
      </c>
      <c r="AC41" s="85">
        <f>SUM(AC40,AC36,AC31,AC28)</f>
        <v>34</v>
      </c>
      <c r="AD41" s="85">
        <f>SUM(AD28,AD31,AD36,AD40)</f>
        <v>0</v>
      </c>
      <c r="AE41" s="85">
        <f>SUM(AE40,AE36,AE31,AE28)</f>
        <v>33</v>
      </c>
      <c r="AF41" s="85">
        <f>SUM(AF28,AF31,AF36,AF40)</f>
        <v>0</v>
      </c>
      <c r="AG41" s="85">
        <f>SUM(AG40,AG36,AG31,AG28)</f>
        <v>30</v>
      </c>
      <c r="AH41" s="87">
        <f>SUM(AH28,AH31,AH36,AH40)</f>
        <v>0</v>
      </c>
      <c r="AI41" s="86">
        <f>SUM(AI28,AI31,AI36,AI40)</f>
        <v>97</v>
      </c>
      <c r="AJ41" s="87">
        <f>SUM(AJ28,AJ31,AJ36,AJ40)</f>
        <v>18</v>
      </c>
      <c r="AK41" s="88">
        <f>AK28+AK31+AK36+AK40</f>
        <v>292</v>
      </c>
      <c r="AL41" s="81"/>
    </row>
    <row r="42" spans="1:38" ht="16.5" thickBot="1" x14ac:dyDescent="0.3">
      <c r="A42" s="81" t="s">
        <v>48</v>
      </c>
      <c r="B42" s="87" t="e">
        <f>SUM(B26,B41,#REF!)</f>
        <v>#REF!</v>
      </c>
      <c r="C42" s="88" t="e">
        <f>SUM(C26,C41,#REF!)</f>
        <v>#REF!</v>
      </c>
      <c r="D42" s="84">
        <f>SUM(D26,D41)</f>
        <v>23</v>
      </c>
      <c r="E42" s="84">
        <f t="shared" ref="E42:AK42" si="21">SUM(E26,E41)</f>
        <v>37</v>
      </c>
      <c r="F42" s="84">
        <f t="shared" si="21"/>
        <v>18</v>
      </c>
      <c r="G42" s="84">
        <f t="shared" si="21"/>
        <v>35</v>
      </c>
      <c r="H42" s="84">
        <f t="shared" si="21"/>
        <v>9</v>
      </c>
      <c r="I42" s="84">
        <f t="shared" si="21"/>
        <v>37</v>
      </c>
      <c r="J42" s="84">
        <f t="shared" si="21"/>
        <v>7</v>
      </c>
      <c r="K42" s="84">
        <f t="shared" si="21"/>
        <v>38</v>
      </c>
      <c r="L42" s="84">
        <f t="shared" si="21"/>
        <v>57</v>
      </c>
      <c r="M42" s="84">
        <f t="shared" si="21"/>
        <v>147</v>
      </c>
      <c r="N42" s="84">
        <f t="shared" si="21"/>
        <v>1</v>
      </c>
      <c r="O42" s="84">
        <f t="shared" si="21"/>
        <v>35</v>
      </c>
      <c r="P42" s="84">
        <f t="shared" si="21"/>
        <v>3</v>
      </c>
      <c r="Q42" s="84">
        <f t="shared" si="21"/>
        <v>35</v>
      </c>
      <c r="R42" s="84">
        <f t="shared" si="21"/>
        <v>5</v>
      </c>
      <c r="S42" s="84">
        <f t="shared" si="21"/>
        <v>34</v>
      </c>
      <c r="T42" s="84">
        <f t="shared" si="21"/>
        <v>5</v>
      </c>
      <c r="U42" s="84">
        <f t="shared" si="21"/>
        <v>36</v>
      </c>
      <c r="V42" s="84">
        <f t="shared" si="21"/>
        <v>3</v>
      </c>
      <c r="W42" s="84">
        <f t="shared" si="21"/>
        <v>36</v>
      </c>
      <c r="X42" s="84">
        <f t="shared" si="21"/>
        <v>1</v>
      </c>
      <c r="Y42" s="84">
        <f t="shared" si="21"/>
        <v>19</v>
      </c>
      <c r="Z42" s="84">
        <f t="shared" si="21"/>
        <v>18</v>
      </c>
      <c r="AA42" s="84">
        <f t="shared" si="21"/>
        <v>195</v>
      </c>
      <c r="AB42" s="84">
        <f t="shared" si="21"/>
        <v>0</v>
      </c>
      <c r="AC42" s="84">
        <f t="shared" si="21"/>
        <v>34</v>
      </c>
      <c r="AD42" s="84">
        <f t="shared" si="21"/>
        <v>0</v>
      </c>
      <c r="AE42" s="84">
        <f t="shared" si="21"/>
        <v>33</v>
      </c>
      <c r="AF42" s="84">
        <f t="shared" si="21"/>
        <v>0</v>
      </c>
      <c r="AG42" s="84">
        <f t="shared" si="21"/>
        <v>30</v>
      </c>
      <c r="AH42" s="84">
        <f t="shared" si="21"/>
        <v>0</v>
      </c>
      <c r="AI42" s="84">
        <f t="shared" si="21"/>
        <v>97</v>
      </c>
      <c r="AJ42" s="84">
        <f t="shared" si="21"/>
        <v>75</v>
      </c>
      <c r="AK42" s="624">
        <f t="shared" si="21"/>
        <v>439</v>
      </c>
      <c r="AL42" s="119"/>
    </row>
    <row r="44" spans="1:38" x14ac:dyDescent="0.2">
      <c r="A44" t="s">
        <v>312</v>
      </c>
    </row>
    <row r="46" spans="1:38" x14ac:dyDescent="0.2">
      <c r="A46" s="611" t="s">
        <v>204</v>
      </c>
    </row>
  </sheetData>
  <mergeCells count="2">
    <mergeCell ref="A3:A4"/>
    <mergeCell ref="B3:C3"/>
  </mergeCells>
  <hyperlinks>
    <hyperlink ref="A46" location="Übersicht!A1" display="zurück zur Übersicht!"/>
  </hyperlinks>
  <printOptions horizontalCentered="1" verticalCentered="1"/>
  <pageMargins left="0.39370078740157483" right="0.39370078740157483" top="0.39370078740157483" bottom="0.39370078740157483" header="0" footer="0"/>
  <pageSetup paperSize="9" scale="67" orientation="landscape" r:id="rId1"/>
  <headerFooter alignWithMargins="0">
    <oddHeader>&amp;L&amp;"PT Sans,Standard"Fachbereich 9&amp;R&amp;"PT Sans,Standard"&amp;A</oddHeader>
    <oddFooter>&amp;C&amp;"PT Sans,Standard"Seite &amp;P&amp;R&amp;"PT Sans,Standard"]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6"/>
  <sheetViews>
    <sheetView zoomScale="80" zoomScaleNormal="80" zoomScalePageLayoutView="70" workbookViewId="0">
      <selection activeCell="AD32" sqref="AD32"/>
    </sheetView>
  </sheetViews>
  <sheetFormatPr baseColWidth="10" defaultRowHeight="12.75" x14ac:dyDescent="0.2"/>
  <cols>
    <col min="1" max="1" width="28" customWidth="1"/>
    <col min="2" max="2" width="8.5703125" hidden="1" customWidth="1"/>
    <col min="3" max="3" width="3.5703125" hidden="1" customWidth="1"/>
    <col min="4" max="4" width="6.28515625" customWidth="1"/>
    <col min="5" max="5" width="4.5703125" bestFit="1" customWidth="1"/>
    <col min="6" max="6" width="5.140625" bestFit="1" customWidth="1"/>
    <col min="7" max="7" width="4.5703125" bestFit="1" customWidth="1"/>
    <col min="8" max="8" width="5.28515625" bestFit="1" customWidth="1"/>
    <col min="9" max="9" width="4.5703125" bestFit="1" customWidth="1"/>
    <col min="10" max="10" width="5.140625" bestFit="1" customWidth="1"/>
    <col min="11" max="11" width="4.5703125" bestFit="1" customWidth="1"/>
    <col min="12" max="12" width="6.42578125" bestFit="1" customWidth="1"/>
    <col min="13" max="13" width="5.140625" bestFit="1" customWidth="1"/>
    <col min="14" max="14" width="5.28515625" bestFit="1" customWidth="1"/>
    <col min="15" max="15" width="4.5703125" bestFit="1" customWidth="1"/>
    <col min="16" max="16" width="5.140625" bestFit="1" customWidth="1"/>
    <col min="17" max="17" width="4.5703125" bestFit="1" customWidth="1"/>
    <col min="18" max="18" width="6.42578125" bestFit="1" customWidth="1"/>
    <col min="19" max="19" width="4.5703125" bestFit="1" customWidth="1"/>
    <col min="20" max="20" width="6.42578125" bestFit="1" customWidth="1"/>
    <col min="21" max="21" width="4.5703125" bestFit="1" customWidth="1"/>
    <col min="22" max="22" width="6.42578125" bestFit="1" customWidth="1"/>
    <col min="23" max="23" width="4.5703125" bestFit="1" customWidth="1"/>
    <col min="24" max="25" width="5.28515625" customWidth="1"/>
    <col min="26" max="26" width="6.42578125" bestFit="1" customWidth="1"/>
    <col min="27" max="27" width="5.140625" bestFit="1" customWidth="1"/>
    <col min="28" max="28" width="5.28515625" bestFit="1" customWidth="1"/>
    <col min="29" max="29" width="4.5703125" bestFit="1" customWidth="1"/>
    <col min="30" max="30" width="5.28515625" bestFit="1" customWidth="1"/>
    <col min="31" max="31" width="4.5703125" bestFit="1" customWidth="1"/>
    <col min="32" max="32" width="5.28515625" bestFit="1" customWidth="1"/>
    <col min="33" max="33" width="4.5703125" bestFit="1" customWidth="1"/>
    <col min="34" max="35" width="5.140625" bestFit="1" customWidth="1"/>
    <col min="36" max="36" width="7.7109375" bestFit="1" customWidth="1"/>
    <col min="37" max="37" width="6" bestFit="1" customWidth="1"/>
    <col min="38" max="38" width="0" hidden="1" customWidth="1"/>
  </cols>
  <sheetData>
    <row r="1" spans="1:39" ht="21" x14ac:dyDescent="0.35">
      <c r="A1" s="607" t="s">
        <v>328</v>
      </c>
      <c r="AM1" s="611"/>
    </row>
    <row r="2" spans="1:39" ht="13.5" thickBot="1" x14ac:dyDescent="0.25"/>
    <row r="3" spans="1:39" ht="14.25" customHeight="1" thickBot="1" x14ac:dyDescent="0.3">
      <c r="A3" s="949"/>
      <c r="B3" s="946" t="s">
        <v>205</v>
      </c>
      <c r="C3" s="947"/>
      <c r="D3" s="11" t="s">
        <v>5</v>
      </c>
      <c r="E3" s="12"/>
      <c r="F3" s="12" t="s">
        <v>6</v>
      </c>
      <c r="G3" s="12"/>
      <c r="H3" s="12" t="s">
        <v>7</v>
      </c>
      <c r="I3" s="12"/>
      <c r="J3" s="12" t="s">
        <v>8</v>
      </c>
      <c r="K3" s="12"/>
      <c r="L3" s="13" t="s">
        <v>9</v>
      </c>
      <c r="M3" s="14"/>
      <c r="N3" s="12" t="s">
        <v>10</v>
      </c>
      <c r="O3" s="12"/>
      <c r="P3" s="12" t="s">
        <v>11</v>
      </c>
      <c r="Q3" s="12"/>
      <c r="R3" s="12" t="s">
        <v>12</v>
      </c>
      <c r="S3" s="12"/>
      <c r="T3" s="12" t="s">
        <v>13</v>
      </c>
      <c r="U3" s="12"/>
      <c r="V3" s="12" t="s">
        <v>14</v>
      </c>
      <c r="W3" s="12"/>
      <c r="X3" s="12" t="s">
        <v>15</v>
      </c>
      <c r="Y3" s="12"/>
      <c r="Z3" s="13" t="s">
        <v>60</v>
      </c>
      <c r="AA3" s="14"/>
      <c r="AB3" s="12" t="s">
        <v>16</v>
      </c>
      <c r="AC3" s="12"/>
      <c r="AD3" s="12" t="s">
        <v>17</v>
      </c>
      <c r="AE3" s="15"/>
      <c r="AF3" s="12" t="s">
        <v>18</v>
      </c>
      <c r="AG3" s="12"/>
      <c r="AH3" s="13" t="s">
        <v>61</v>
      </c>
      <c r="AI3" s="16"/>
      <c r="AJ3" s="13" t="s">
        <v>19</v>
      </c>
      <c r="AK3" s="14"/>
      <c r="AL3" s="10"/>
    </row>
    <row r="4" spans="1:39" ht="16.5" thickBot="1" x14ac:dyDescent="0.3">
      <c r="A4" s="950"/>
      <c r="B4" s="18" t="s">
        <v>20</v>
      </c>
      <c r="C4" s="19" t="s">
        <v>21</v>
      </c>
      <c r="D4" s="20" t="s">
        <v>20</v>
      </c>
      <c r="E4" s="21" t="s">
        <v>21</v>
      </c>
      <c r="F4" s="21" t="s">
        <v>20</v>
      </c>
      <c r="G4" s="21" t="s">
        <v>21</v>
      </c>
      <c r="H4" s="21" t="s">
        <v>20</v>
      </c>
      <c r="I4" s="21" t="s">
        <v>21</v>
      </c>
      <c r="J4" s="21" t="s">
        <v>20</v>
      </c>
      <c r="K4" s="21" t="s">
        <v>21</v>
      </c>
      <c r="L4" s="22" t="s">
        <v>20</v>
      </c>
      <c r="M4" s="23" t="s">
        <v>21</v>
      </c>
      <c r="N4" s="21" t="s">
        <v>20</v>
      </c>
      <c r="O4" s="21" t="s">
        <v>21</v>
      </c>
      <c r="P4" s="21" t="s">
        <v>20</v>
      </c>
      <c r="Q4" s="21" t="s">
        <v>21</v>
      </c>
      <c r="R4" s="21" t="s">
        <v>20</v>
      </c>
      <c r="S4" s="21" t="s">
        <v>21</v>
      </c>
      <c r="T4" s="21" t="s">
        <v>20</v>
      </c>
      <c r="U4" s="21" t="s">
        <v>21</v>
      </c>
      <c r="V4" s="21" t="s">
        <v>20</v>
      </c>
      <c r="W4" s="21" t="s">
        <v>21</v>
      </c>
      <c r="X4" s="21" t="s">
        <v>20</v>
      </c>
      <c r="Y4" s="21" t="s">
        <v>21</v>
      </c>
      <c r="Z4" s="22" t="s">
        <v>20</v>
      </c>
      <c r="AA4" s="23" t="s">
        <v>21</v>
      </c>
      <c r="AB4" s="21" t="s">
        <v>20</v>
      </c>
      <c r="AC4" s="24" t="s">
        <v>208</v>
      </c>
      <c r="AD4" s="21" t="s">
        <v>20</v>
      </c>
      <c r="AE4" s="24" t="s">
        <v>208</v>
      </c>
      <c r="AF4" s="21" t="s">
        <v>20</v>
      </c>
      <c r="AG4" s="24" t="s">
        <v>208</v>
      </c>
      <c r="AH4" s="22" t="s">
        <v>20</v>
      </c>
      <c r="AI4" s="21" t="s">
        <v>208</v>
      </c>
      <c r="AJ4" s="25" t="s">
        <v>20</v>
      </c>
      <c r="AK4" s="26" t="s">
        <v>62</v>
      </c>
      <c r="AL4" s="17"/>
    </row>
    <row r="5" spans="1:39" ht="15.75" x14ac:dyDescent="0.25">
      <c r="A5" s="27" t="s">
        <v>22</v>
      </c>
      <c r="B5" s="28"/>
      <c r="C5" s="29"/>
      <c r="D5" s="630">
        <f>SUM('Anlage 1e'!D5+'Anlage 1f'!D5)</f>
        <v>0</v>
      </c>
      <c r="E5" s="608">
        <f>'Anlage 1a'!E5</f>
        <v>2</v>
      </c>
      <c r="F5" s="608">
        <f>SUM('Anlage 1e'!F5+'Anlage 1f'!F5)</f>
        <v>2</v>
      </c>
      <c r="G5" s="608">
        <f>'Anlage 1a'!G5</f>
        <v>2</v>
      </c>
      <c r="H5" s="608">
        <f>SUM('Anlage 1e'!H5+'Anlage 1f'!H5)</f>
        <v>4</v>
      </c>
      <c r="I5" s="608">
        <f>'Anlage 1a'!I5</f>
        <v>2</v>
      </c>
      <c r="J5" s="608">
        <f>SUM('Anlage 1e'!J5+'Anlage 1f'!J5)</f>
        <v>0</v>
      </c>
      <c r="K5" s="608">
        <f>'Anlage 1a'!K5</f>
        <v>3</v>
      </c>
      <c r="L5" s="32">
        <f>SUM(D5,F5,H5,J5)</f>
        <v>6</v>
      </c>
      <c r="M5" s="33">
        <f>SUM(E5,G5,I5,K5)</f>
        <v>9</v>
      </c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5">
        <f>SUM(N5,P5,R5,T5,V5,X5)</f>
        <v>0</v>
      </c>
      <c r="AA5" s="36">
        <f>SUM(O5,Q5,S5,U5,W5,Y5)</f>
        <v>0</v>
      </c>
      <c r="AB5" s="34"/>
      <c r="AC5" s="34"/>
      <c r="AD5" s="34"/>
      <c r="AE5" s="34"/>
      <c r="AF5" s="34"/>
      <c r="AG5" s="34"/>
      <c r="AH5" s="35">
        <f t="shared" ref="AH5:AI8" si="0">SUM(AB5,AD5,AF5)</f>
        <v>0</v>
      </c>
      <c r="AI5" s="37">
        <f t="shared" si="0"/>
        <v>0</v>
      </c>
      <c r="AJ5" s="32">
        <f t="shared" ref="AJ5:AK8" si="1">SUM(L5,Z5,AH5)</f>
        <v>6</v>
      </c>
      <c r="AK5" s="33">
        <f t="shared" si="1"/>
        <v>9</v>
      </c>
      <c r="AL5" s="27"/>
    </row>
    <row r="6" spans="1:39" ht="15.75" x14ac:dyDescent="0.25">
      <c r="A6" s="27" t="s">
        <v>23</v>
      </c>
      <c r="B6" s="28"/>
      <c r="C6" s="29"/>
      <c r="D6" s="630">
        <f>SUM('Anlage 1e'!D6+'Anlage 1f'!D6)</f>
        <v>2</v>
      </c>
      <c r="E6" s="608">
        <f>'Anlage 1a'!E6</f>
        <v>2</v>
      </c>
      <c r="F6" s="608">
        <f>SUM('Anlage 1e'!F6+'Anlage 1f'!F6)</f>
        <v>2</v>
      </c>
      <c r="G6" s="608">
        <f>'Anlage 1a'!G6</f>
        <v>2</v>
      </c>
      <c r="H6" s="608">
        <f>SUM('Anlage 1e'!H6+'Anlage 1f'!H6)</f>
        <v>0</v>
      </c>
      <c r="I6" s="608">
        <f>'Anlage 1a'!I6</f>
        <v>2</v>
      </c>
      <c r="J6" s="608">
        <f>SUM('Anlage 1e'!J6+'Anlage 1f'!J6)</f>
        <v>0</v>
      </c>
      <c r="K6" s="608">
        <f>'Anlage 1a'!K6</f>
        <v>2</v>
      </c>
      <c r="L6" s="32">
        <f>SUM(D6,F6,H6,J6)</f>
        <v>4</v>
      </c>
      <c r="M6" s="33">
        <f t="shared" ref="L6:M21" si="2">SUM(E6,G6,I6,K6)</f>
        <v>8</v>
      </c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5">
        <f t="shared" ref="Z6:AA8" si="3">SUM(N6,P6,R6,T6,V6,X6)</f>
        <v>0</v>
      </c>
      <c r="AA6" s="36">
        <f t="shared" si="3"/>
        <v>0</v>
      </c>
      <c r="AB6" s="34"/>
      <c r="AC6" s="34"/>
      <c r="AD6" s="34"/>
      <c r="AE6" s="34"/>
      <c r="AF6" s="34"/>
      <c r="AG6" s="34"/>
      <c r="AH6" s="35">
        <f t="shared" si="0"/>
        <v>0</v>
      </c>
      <c r="AI6" s="37">
        <f t="shared" si="0"/>
        <v>0</v>
      </c>
      <c r="AJ6" s="32">
        <f t="shared" si="1"/>
        <v>4</v>
      </c>
      <c r="AK6" s="33">
        <f t="shared" si="1"/>
        <v>8</v>
      </c>
      <c r="AL6" s="27"/>
    </row>
    <row r="7" spans="1:39" ht="15.75" x14ac:dyDescent="0.25">
      <c r="A7" s="27" t="s">
        <v>24</v>
      </c>
      <c r="B7" s="28"/>
      <c r="C7" s="29"/>
      <c r="D7" s="630">
        <f>SUM('Anlage 1e'!D7+'Anlage 1f'!D7)</f>
        <v>3</v>
      </c>
      <c r="E7" s="608">
        <f>'Anlage 1a'!E7</f>
        <v>2</v>
      </c>
      <c r="F7" s="608">
        <f>SUM('Anlage 1e'!F7+'Anlage 1f'!F7)</f>
        <v>5</v>
      </c>
      <c r="G7" s="608">
        <f>'Anlage 1a'!G7</f>
        <v>2</v>
      </c>
      <c r="H7" s="608">
        <f>SUM('Anlage 1e'!H7+'Anlage 1f'!H7)</f>
        <v>2</v>
      </c>
      <c r="I7" s="608">
        <f>'Anlage 1a'!I7</f>
        <v>2</v>
      </c>
      <c r="J7" s="608">
        <f>SUM('Anlage 1e'!J7+'Anlage 1f'!J7)</f>
        <v>1</v>
      </c>
      <c r="K7" s="608">
        <f>'Anlage 1a'!K7</f>
        <v>3</v>
      </c>
      <c r="L7" s="32">
        <f t="shared" si="2"/>
        <v>11</v>
      </c>
      <c r="M7" s="33">
        <f t="shared" si="2"/>
        <v>9</v>
      </c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5">
        <f t="shared" si="3"/>
        <v>0</v>
      </c>
      <c r="AA7" s="36">
        <f t="shared" si="3"/>
        <v>0</v>
      </c>
      <c r="AB7" s="34"/>
      <c r="AC7" s="34"/>
      <c r="AD7" s="34"/>
      <c r="AE7" s="34"/>
      <c r="AF7" s="34"/>
      <c r="AG7" s="34"/>
      <c r="AH7" s="35">
        <f t="shared" si="0"/>
        <v>0</v>
      </c>
      <c r="AI7" s="37">
        <f t="shared" si="0"/>
        <v>0</v>
      </c>
      <c r="AJ7" s="32">
        <f t="shared" si="1"/>
        <v>11</v>
      </c>
      <c r="AK7" s="33">
        <f t="shared" si="1"/>
        <v>9</v>
      </c>
      <c r="AL7" s="27"/>
    </row>
    <row r="8" spans="1:39" ht="16.5" thickBot="1" x14ac:dyDescent="0.3">
      <c r="A8" s="38" t="s">
        <v>291</v>
      </c>
      <c r="B8" s="39"/>
      <c r="C8" s="40"/>
      <c r="D8" s="630">
        <f>SUM('Anlage 1e'!D8+'Anlage 1f'!D8)</f>
        <v>14</v>
      </c>
      <c r="E8" s="608">
        <f>'Anlage 1a'!E8</f>
        <v>2</v>
      </c>
      <c r="F8" s="608">
        <f>SUM('Anlage 1e'!F8+'Anlage 1f'!F8)</f>
        <v>6</v>
      </c>
      <c r="G8" s="608">
        <f>'Anlage 1a'!G8</f>
        <v>1</v>
      </c>
      <c r="H8" s="608">
        <f>SUM('Anlage 1e'!H8+'Anlage 1f'!H8)</f>
        <v>0</v>
      </c>
      <c r="I8" s="608">
        <f>'Anlage 1a'!I8</f>
        <v>2</v>
      </c>
      <c r="J8" s="608">
        <f>SUM('Anlage 1e'!J8+'Anlage 1f'!J8)</f>
        <v>2</v>
      </c>
      <c r="K8" s="608">
        <f>'Anlage 1a'!K8</f>
        <v>2</v>
      </c>
      <c r="L8" s="43">
        <f>SUM(D8+F8+H8+J8)</f>
        <v>22</v>
      </c>
      <c r="M8" s="44">
        <f t="shared" si="2"/>
        <v>7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6">
        <f t="shared" si="3"/>
        <v>0</v>
      </c>
      <c r="AA8" s="47">
        <f t="shared" si="3"/>
        <v>0</v>
      </c>
      <c r="AB8" s="45"/>
      <c r="AC8" s="45">
        <v>0</v>
      </c>
      <c r="AD8" s="45"/>
      <c r="AE8" s="45"/>
      <c r="AF8" s="45"/>
      <c r="AG8" s="48"/>
      <c r="AH8" s="46">
        <f t="shared" si="0"/>
        <v>0</v>
      </c>
      <c r="AI8" s="49">
        <f t="shared" si="0"/>
        <v>0</v>
      </c>
      <c r="AJ8" s="43">
        <f t="shared" si="1"/>
        <v>22</v>
      </c>
      <c r="AK8" s="44">
        <f t="shared" si="1"/>
        <v>7</v>
      </c>
      <c r="AL8" s="38"/>
    </row>
    <row r="9" spans="1:39" ht="16.5" thickBot="1" x14ac:dyDescent="0.3">
      <c r="A9" s="50" t="s">
        <v>25</v>
      </c>
      <c r="B9" s="51"/>
      <c r="C9" s="52"/>
      <c r="D9" s="53">
        <f>SUM(D5,D6,D7,D8)</f>
        <v>19</v>
      </c>
      <c r="E9" s="54">
        <f t="shared" ref="E9:Y9" si="4">SUM(E5,E6,E7,E8)</f>
        <v>8</v>
      </c>
      <c r="F9" s="54">
        <f>SUM(F5,F6,F7,F8)</f>
        <v>15</v>
      </c>
      <c r="G9" s="54">
        <f t="shared" si="4"/>
        <v>7</v>
      </c>
      <c r="H9" s="54">
        <f>SUM(H5,H6,H7,H8)</f>
        <v>6</v>
      </c>
      <c r="I9" s="54">
        <f t="shared" si="4"/>
        <v>8</v>
      </c>
      <c r="J9" s="54">
        <f>SUM(J5,J6,J7,J8)</f>
        <v>3</v>
      </c>
      <c r="K9" s="54">
        <f t="shared" si="4"/>
        <v>10</v>
      </c>
      <c r="L9" s="55">
        <f t="shared" si="4"/>
        <v>43</v>
      </c>
      <c r="M9" s="56">
        <f t="shared" si="4"/>
        <v>33</v>
      </c>
      <c r="N9" s="57">
        <f t="shared" si="4"/>
        <v>0</v>
      </c>
      <c r="O9" s="57">
        <f t="shared" si="4"/>
        <v>0</v>
      </c>
      <c r="P9" s="57">
        <f t="shared" si="4"/>
        <v>0</v>
      </c>
      <c r="Q9" s="57">
        <f t="shared" si="4"/>
        <v>0</v>
      </c>
      <c r="R9" s="57">
        <f t="shared" si="4"/>
        <v>0</v>
      </c>
      <c r="S9" s="57">
        <f t="shared" si="4"/>
        <v>0</v>
      </c>
      <c r="T9" s="57">
        <f t="shared" si="4"/>
        <v>0</v>
      </c>
      <c r="U9" s="57">
        <f t="shared" si="4"/>
        <v>0</v>
      </c>
      <c r="V9" s="57">
        <f t="shared" si="4"/>
        <v>0</v>
      </c>
      <c r="W9" s="57">
        <f t="shared" si="4"/>
        <v>0</v>
      </c>
      <c r="X9" s="57">
        <f t="shared" si="4"/>
        <v>0</v>
      </c>
      <c r="Y9" s="57">
        <f t="shared" si="4"/>
        <v>0</v>
      </c>
      <c r="Z9" s="58"/>
      <c r="AA9" s="59"/>
      <c r="AB9" s="57"/>
      <c r="AC9" s="57"/>
      <c r="AD9" s="57"/>
      <c r="AE9" s="57"/>
      <c r="AF9" s="57"/>
      <c r="AG9" s="57"/>
      <c r="AH9" s="58"/>
      <c r="AI9" s="60"/>
      <c r="AJ9" s="55">
        <f>SUM(AJ5,AJ6,AJ7,AJ8)</f>
        <v>43</v>
      </c>
      <c r="AK9" s="56">
        <f>SUM(AK5,AK6,AK7,AK8)</f>
        <v>33</v>
      </c>
      <c r="AL9" s="50"/>
    </row>
    <row r="10" spans="1:39" ht="15.75" hidden="1" x14ac:dyDescent="0.25">
      <c r="A10" s="635" t="s">
        <v>26</v>
      </c>
      <c r="B10" s="636"/>
      <c r="C10" s="637"/>
      <c r="D10" s="638"/>
      <c r="E10" s="733"/>
      <c r="F10" s="639"/>
      <c r="G10" s="639"/>
      <c r="H10" s="639"/>
      <c r="I10" s="639"/>
      <c r="J10" s="639"/>
      <c r="K10" s="639"/>
      <c r="L10" s="640"/>
      <c r="M10" s="641"/>
      <c r="N10" s="642"/>
      <c r="O10" s="642"/>
      <c r="P10" s="642"/>
      <c r="Q10" s="642"/>
      <c r="R10" s="642"/>
      <c r="S10" s="642"/>
      <c r="T10" s="642"/>
      <c r="U10" s="642"/>
      <c r="V10" s="642"/>
      <c r="W10" s="642"/>
      <c r="X10" s="642"/>
      <c r="Y10" s="642"/>
      <c r="Z10" s="643"/>
      <c r="AA10" s="644"/>
      <c r="AB10" s="642"/>
      <c r="AC10" s="642"/>
      <c r="AD10" s="642"/>
      <c r="AE10" s="642"/>
      <c r="AF10" s="642"/>
      <c r="AG10" s="642"/>
      <c r="AH10" s="643"/>
      <c r="AI10" s="645"/>
      <c r="AJ10" s="640"/>
      <c r="AK10" s="641"/>
      <c r="AL10" s="61"/>
    </row>
    <row r="11" spans="1:39" ht="15.75" x14ac:dyDescent="0.25">
      <c r="A11" s="27" t="s">
        <v>27</v>
      </c>
      <c r="B11" s="28"/>
      <c r="C11" s="72"/>
      <c r="D11" s="631">
        <f>SUM('Anlage 1e'!D11+'Anlage 1f'!D11)</f>
        <v>12</v>
      </c>
      <c r="E11" s="608">
        <f>'Anlage 1a'!E11</f>
        <v>3</v>
      </c>
      <c r="F11" s="609">
        <f>SUM('Anlage 1e'!F11+'Anlage 1f'!F11)</f>
        <v>22</v>
      </c>
      <c r="G11" s="609">
        <f>'Anlage 1a'!G11</f>
        <v>3</v>
      </c>
      <c r="H11" s="609">
        <f>SUM('Anlage 1e'!H11+'Anlage 1f'!H11)</f>
        <v>4</v>
      </c>
      <c r="I11" s="609">
        <f>'Anlage 1a'!I11</f>
        <v>3</v>
      </c>
      <c r="J11" s="609">
        <f>SUM('Anlage 1e'!J11+'Anlage 1f'!J11)</f>
        <v>5</v>
      </c>
      <c r="K11" s="609">
        <f>'Anlage 1a'!K11</f>
        <v>3</v>
      </c>
      <c r="L11" s="32">
        <f t="shared" si="2"/>
        <v>43</v>
      </c>
      <c r="M11" s="33">
        <f t="shared" si="2"/>
        <v>12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5"/>
      <c r="AA11" s="36"/>
      <c r="AB11" s="34"/>
      <c r="AC11" s="34"/>
      <c r="AD11" s="34"/>
      <c r="AE11" s="34"/>
      <c r="AF11" s="34"/>
      <c r="AG11" s="34"/>
      <c r="AH11" s="35"/>
      <c r="AI11" s="37"/>
      <c r="AJ11" s="32">
        <f t="shared" ref="AJ11:AK15" si="5">SUM(L11,Z11,AH11)</f>
        <v>43</v>
      </c>
      <c r="AK11" s="33">
        <f t="shared" si="5"/>
        <v>12</v>
      </c>
      <c r="AL11" s="27"/>
    </row>
    <row r="12" spans="1:39" ht="15.75" x14ac:dyDescent="0.25">
      <c r="A12" s="27" t="s">
        <v>28</v>
      </c>
      <c r="B12" s="28"/>
      <c r="C12" s="72"/>
      <c r="D12" s="631">
        <f>SUM('Anlage 1e'!D12+'Anlage 1f'!D12)</f>
        <v>2</v>
      </c>
      <c r="E12" s="608">
        <f>'Anlage 1a'!E12</f>
        <v>2</v>
      </c>
      <c r="F12" s="609">
        <f>SUM('Anlage 1e'!F12+'Anlage 1f'!F12)</f>
        <v>3</v>
      </c>
      <c r="G12" s="609">
        <f>'Anlage 1a'!G12</f>
        <v>2</v>
      </c>
      <c r="H12" s="609">
        <f>SUM('Anlage 1e'!H12+'Anlage 1f'!H12)</f>
        <v>0</v>
      </c>
      <c r="I12" s="609">
        <f>'Anlage 1a'!I12</f>
        <v>2</v>
      </c>
      <c r="J12" s="609">
        <f>SUM('Anlage 1e'!J12+'Anlage 1f'!J12)</f>
        <v>2</v>
      </c>
      <c r="K12" s="609">
        <f>'Anlage 1a'!K12</f>
        <v>2</v>
      </c>
      <c r="L12" s="32">
        <f t="shared" si="2"/>
        <v>7</v>
      </c>
      <c r="M12" s="33">
        <f t="shared" si="2"/>
        <v>8</v>
      </c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5"/>
      <c r="AA12" s="36"/>
      <c r="AB12" s="34"/>
      <c r="AC12" s="34"/>
      <c r="AD12" s="34"/>
      <c r="AE12" s="34"/>
      <c r="AF12" s="34"/>
      <c r="AG12" s="34"/>
      <c r="AH12" s="35"/>
      <c r="AI12" s="37"/>
      <c r="AJ12" s="32">
        <f t="shared" si="5"/>
        <v>7</v>
      </c>
      <c r="AK12" s="33">
        <f t="shared" si="5"/>
        <v>8</v>
      </c>
      <c r="AL12" s="27"/>
    </row>
    <row r="13" spans="1:39" ht="15.75" x14ac:dyDescent="0.25">
      <c r="A13" s="27" t="s">
        <v>29</v>
      </c>
      <c r="B13" s="28"/>
      <c r="C13" s="72"/>
      <c r="D13" s="631">
        <f>SUM('Anlage 1e'!D13+'Anlage 1f'!D13)</f>
        <v>0</v>
      </c>
      <c r="E13" s="608">
        <f>'Anlage 1a'!E13</f>
        <v>3</v>
      </c>
      <c r="F13" s="609">
        <f>SUM('Anlage 1e'!F13+'Anlage 1f'!F13)</f>
        <v>0</v>
      </c>
      <c r="G13" s="609">
        <f>'Anlage 1a'!G13</f>
        <v>3</v>
      </c>
      <c r="H13" s="609">
        <f>SUM('Anlage 1e'!H13+'Anlage 1f'!H13)</f>
        <v>0</v>
      </c>
      <c r="I13" s="609">
        <f>'Anlage 1a'!I13</f>
        <v>3</v>
      </c>
      <c r="J13" s="609">
        <f>SUM('Anlage 1e'!J13+'Anlage 1f'!J13)</f>
        <v>0</v>
      </c>
      <c r="K13" s="609">
        <f>'Anlage 1a'!K13</f>
        <v>3</v>
      </c>
      <c r="L13" s="32">
        <f t="shared" si="2"/>
        <v>0</v>
      </c>
      <c r="M13" s="33">
        <f t="shared" si="2"/>
        <v>12</v>
      </c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5"/>
      <c r="AA13" s="36"/>
      <c r="AB13" s="34"/>
      <c r="AC13" s="34"/>
      <c r="AD13" s="34"/>
      <c r="AE13" s="34"/>
      <c r="AF13" s="34"/>
      <c r="AG13" s="34"/>
      <c r="AH13" s="35"/>
      <c r="AI13" s="37"/>
      <c r="AJ13" s="32">
        <f t="shared" si="5"/>
        <v>0</v>
      </c>
      <c r="AK13" s="33">
        <f t="shared" si="5"/>
        <v>12</v>
      </c>
      <c r="AL13" s="27"/>
    </row>
    <row r="14" spans="1:39" ht="15.75" x14ac:dyDescent="0.25">
      <c r="A14" s="27" t="s">
        <v>58</v>
      </c>
      <c r="B14" s="28"/>
      <c r="C14" s="72"/>
      <c r="D14" s="631">
        <f>SUM('Anlage 1e'!D14+'Anlage 1f'!D14)</f>
        <v>1</v>
      </c>
      <c r="E14" s="608">
        <f>'Anlage 1a'!E14</f>
        <v>3</v>
      </c>
      <c r="F14" s="609">
        <f>SUM('Anlage 1e'!F14+'Anlage 1f'!F14)</f>
        <v>0</v>
      </c>
      <c r="G14" s="609">
        <f>'Anlage 1a'!G14</f>
        <v>2</v>
      </c>
      <c r="H14" s="609">
        <f>SUM('Anlage 1e'!H14+'Anlage 1f'!H14)</f>
        <v>1</v>
      </c>
      <c r="I14" s="609">
        <f>'Anlage 1a'!I14</f>
        <v>3</v>
      </c>
      <c r="J14" s="609">
        <f>SUM('Anlage 1e'!J14+'Anlage 1f'!J14)</f>
        <v>0</v>
      </c>
      <c r="K14" s="609">
        <f>'Anlage 1a'!K14</f>
        <v>2</v>
      </c>
      <c r="L14" s="32">
        <f t="shared" si="2"/>
        <v>2</v>
      </c>
      <c r="M14" s="33">
        <f t="shared" si="2"/>
        <v>10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5"/>
      <c r="AA14" s="36"/>
      <c r="AB14" s="34"/>
      <c r="AC14" s="34"/>
      <c r="AD14" s="34"/>
      <c r="AE14" s="34"/>
      <c r="AF14" s="34"/>
      <c r="AG14" s="34"/>
      <c r="AH14" s="35"/>
      <c r="AI14" s="37"/>
      <c r="AJ14" s="32">
        <f t="shared" si="5"/>
        <v>2</v>
      </c>
      <c r="AK14" s="33">
        <f t="shared" si="5"/>
        <v>10</v>
      </c>
      <c r="AL14" s="27"/>
    </row>
    <row r="15" spans="1:39" ht="16.5" thickBot="1" x14ac:dyDescent="0.3">
      <c r="A15" s="38" t="s">
        <v>292</v>
      </c>
      <c r="B15" s="73"/>
      <c r="C15" s="40"/>
      <c r="D15" s="631">
        <f>SUM('Anlage 1e'!D15+'Anlage 1f'!D15)</f>
        <v>10</v>
      </c>
      <c r="E15" s="608">
        <f>'Anlage 1a'!E15</f>
        <v>3</v>
      </c>
      <c r="F15" s="609">
        <f>SUM('Anlage 1e'!F15+'Anlage 1f'!F15)</f>
        <v>11</v>
      </c>
      <c r="G15" s="609">
        <f>'Anlage 1a'!G15</f>
        <v>3</v>
      </c>
      <c r="H15" s="609">
        <f>SUM('Anlage 1e'!H15+'Anlage 1f'!H15)</f>
        <v>2</v>
      </c>
      <c r="I15" s="609">
        <f>'Anlage 1a'!I15</f>
        <v>3</v>
      </c>
      <c r="J15" s="609">
        <f>SUM('Anlage 1e'!J15+'Anlage 1f'!J15)</f>
        <v>2</v>
      </c>
      <c r="K15" s="609">
        <f>'Anlage 1a'!K15</f>
        <v>3</v>
      </c>
      <c r="L15" s="43">
        <f t="shared" si="2"/>
        <v>25</v>
      </c>
      <c r="M15" s="44">
        <f t="shared" si="2"/>
        <v>12</v>
      </c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6"/>
      <c r="AA15" s="47"/>
      <c r="AB15" s="45"/>
      <c r="AC15" s="45"/>
      <c r="AD15" s="45"/>
      <c r="AE15" s="45"/>
      <c r="AF15" s="45"/>
      <c r="AG15" s="48"/>
      <c r="AH15" s="46"/>
      <c r="AI15" s="49"/>
      <c r="AJ15" s="43">
        <f t="shared" si="5"/>
        <v>25</v>
      </c>
      <c r="AK15" s="44">
        <f t="shared" si="5"/>
        <v>12</v>
      </c>
      <c r="AL15" s="38"/>
    </row>
    <row r="16" spans="1:39" ht="16.5" thickBot="1" x14ac:dyDescent="0.3">
      <c r="A16" s="50" t="s">
        <v>30</v>
      </c>
      <c r="B16" s="51"/>
      <c r="C16" s="52"/>
      <c r="D16" s="632">
        <f>SUM(D10,D11,D12,D13,D14,D15)</f>
        <v>25</v>
      </c>
      <c r="E16" s="633">
        <f t="shared" ref="E16:AK16" si="6">SUM(E10,E11,E12,E13,E14,E15)</f>
        <v>14</v>
      </c>
      <c r="F16" s="633">
        <f t="shared" si="6"/>
        <v>36</v>
      </c>
      <c r="G16" s="633">
        <f t="shared" si="6"/>
        <v>13</v>
      </c>
      <c r="H16" s="633">
        <f t="shared" si="6"/>
        <v>7</v>
      </c>
      <c r="I16" s="633">
        <f t="shared" si="6"/>
        <v>14</v>
      </c>
      <c r="J16" s="633">
        <f t="shared" si="6"/>
        <v>9</v>
      </c>
      <c r="K16" s="54">
        <f t="shared" si="6"/>
        <v>13</v>
      </c>
      <c r="L16" s="55">
        <f t="shared" si="6"/>
        <v>77</v>
      </c>
      <c r="M16" s="56">
        <f t="shared" si="6"/>
        <v>54</v>
      </c>
      <c r="N16" s="57">
        <f t="shared" si="6"/>
        <v>0</v>
      </c>
      <c r="O16" s="57">
        <f t="shared" si="6"/>
        <v>0</v>
      </c>
      <c r="P16" s="57">
        <f t="shared" si="6"/>
        <v>0</v>
      </c>
      <c r="Q16" s="57">
        <f t="shared" si="6"/>
        <v>0</v>
      </c>
      <c r="R16" s="57">
        <f t="shared" si="6"/>
        <v>0</v>
      </c>
      <c r="S16" s="57">
        <f t="shared" si="6"/>
        <v>0</v>
      </c>
      <c r="T16" s="57">
        <f t="shared" si="6"/>
        <v>0</v>
      </c>
      <c r="U16" s="57">
        <f t="shared" si="6"/>
        <v>0</v>
      </c>
      <c r="V16" s="57">
        <f t="shared" si="6"/>
        <v>0</v>
      </c>
      <c r="W16" s="57">
        <f t="shared" si="6"/>
        <v>0</v>
      </c>
      <c r="X16" s="57">
        <f t="shared" si="6"/>
        <v>0</v>
      </c>
      <c r="Y16" s="57">
        <f t="shared" si="6"/>
        <v>0</v>
      </c>
      <c r="Z16" s="58"/>
      <c r="AA16" s="59"/>
      <c r="AB16" s="57"/>
      <c r="AC16" s="57"/>
      <c r="AD16" s="57"/>
      <c r="AE16" s="57"/>
      <c r="AF16" s="57"/>
      <c r="AG16" s="57"/>
      <c r="AH16" s="58"/>
      <c r="AI16" s="60"/>
      <c r="AJ16" s="55">
        <f t="shared" si="6"/>
        <v>77</v>
      </c>
      <c r="AK16" s="56">
        <f t="shared" si="6"/>
        <v>54</v>
      </c>
      <c r="AL16" s="50"/>
    </row>
    <row r="17" spans="1:38" ht="15.75" x14ac:dyDescent="0.25">
      <c r="A17" s="61" t="s">
        <v>317</v>
      </c>
      <c r="B17" s="62"/>
      <c r="C17" s="63"/>
      <c r="D17" s="631">
        <f>SUM('Anlage 1e'!D17+'Anlage 1f'!D17)</f>
        <v>5</v>
      </c>
      <c r="E17" s="608">
        <f>'Anlage 1a'!E17</f>
        <v>1</v>
      </c>
      <c r="F17" s="609">
        <f>SUM('Anlage 1e'!F17+'Anlage 1f'!F17)</f>
        <v>1</v>
      </c>
      <c r="G17" s="609">
        <f>'Anlage 1a'!G17</f>
        <v>1</v>
      </c>
      <c r="H17" s="609">
        <f>SUM('Anlage 1e'!H17+'Anlage 1f'!H17)</f>
        <v>0</v>
      </c>
      <c r="I17" s="609">
        <f>'Anlage 1a'!I17</f>
        <v>2</v>
      </c>
      <c r="J17" s="609">
        <f>SUM('Anlage 1e'!J17+'Anlage 1f'!J17)</f>
        <v>1</v>
      </c>
      <c r="K17" s="609">
        <f>'Anlage 1a'!K17</f>
        <v>1</v>
      </c>
      <c r="L17" s="66">
        <f t="shared" si="2"/>
        <v>7</v>
      </c>
      <c r="M17" s="67">
        <f t="shared" si="2"/>
        <v>5</v>
      </c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71"/>
      <c r="Z17" s="99"/>
      <c r="AA17" s="100"/>
      <c r="AB17" s="99"/>
      <c r="AC17" s="619"/>
      <c r="AD17" s="619"/>
      <c r="AE17" s="619"/>
      <c r="AF17" s="619"/>
      <c r="AG17" s="100"/>
      <c r="AH17" s="99"/>
      <c r="AI17" s="100"/>
      <c r="AJ17" s="110">
        <f t="shared" ref="AJ17:AK21" si="7">SUM(L17,Z17,AH17)</f>
        <v>7</v>
      </c>
      <c r="AK17" s="67">
        <f t="shared" si="7"/>
        <v>5</v>
      </c>
      <c r="AL17" s="61"/>
    </row>
    <row r="18" spans="1:38" ht="15.75" x14ac:dyDescent="0.25">
      <c r="A18" s="27" t="s">
        <v>316</v>
      </c>
      <c r="B18" s="28"/>
      <c r="C18" s="72"/>
      <c r="D18" s="631">
        <f>SUM('Anlage 1e'!D18+'Anlage 1f'!D18)</f>
        <v>3</v>
      </c>
      <c r="E18" s="608">
        <f>'Anlage 1a'!E18</f>
        <v>2</v>
      </c>
      <c r="F18" s="609">
        <f>SUM('Anlage 1e'!F18+'Anlage 1f'!F18)</f>
        <v>3</v>
      </c>
      <c r="G18" s="609">
        <f>'Anlage 1a'!G18</f>
        <v>2</v>
      </c>
      <c r="H18" s="609">
        <f>SUM('Anlage 1e'!H18+'Anlage 1f'!H18)</f>
        <v>3</v>
      </c>
      <c r="I18" s="609">
        <f>'Anlage 1a'!I18</f>
        <v>2</v>
      </c>
      <c r="J18" s="609">
        <f>SUM('Anlage 1e'!J18+'Anlage 1f'!J18)</f>
        <v>0</v>
      </c>
      <c r="K18" s="609">
        <f>'Anlage 1a'!K18</f>
        <v>2</v>
      </c>
      <c r="L18" s="32">
        <f t="shared" si="2"/>
        <v>9</v>
      </c>
      <c r="M18" s="33">
        <f t="shared" si="2"/>
        <v>8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7"/>
      <c r="Z18" s="35"/>
      <c r="AA18" s="36"/>
      <c r="AB18" s="35"/>
      <c r="AC18" s="34"/>
      <c r="AD18" s="34"/>
      <c r="AE18" s="34"/>
      <c r="AF18" s="34"/>
      <c r="AG18" s="36"/>
      <c r="AH18" s="35"/>
      <c r="AI18" s="36"/>
      <c r="AJ18" s="612">
        <f t="shared" si="7"/>
        <v>9</v>
      </c>
      <c r="AK18" s="33">
        <f t="shared" si="7"/>
        <v>8</v>
      </c>
      <c r="AL18" s="27"/>
    </row>
    <row r="19" spans="1:38" ht="15.75" x14ac:dyDescent="0.25">
      <c r="A19" s="27" t="s">
        <v>289</v>
      </c>
      <c r="B19" s="28"/>
      <c r="C19" s="72"/>
      <c r="D19" s="631">
        <f>SUM('Anlage 1e'!D19+'Anlage 1f'!D19)</f>
        <v>2</v>
      </c>
      <c r="E19" s="608">
        <f>'Anlage 1a'!E19</f>
        <v>2</v>
      </c>
      <c r="F19" s="609">
        <f>SUM('Anlage 1e'!F19+'Anlage 1f'!F19)</f>
        <v>3</v>
      </c>
      <c r="G19" s="609">
        <f>'Anlage 1a'!G19</f>
        <v>2</v>
      </c>
      <c r="H19" s="609">
        <f>SUM('Anlage 1e'!H19+'Anlage 1f'!H19)</f>
        <v>4</v>
      </c>
      <c r="I19" s="609">
        <f>'Anlage 1a'!I19</f>
        <v>2</v>
      </c>
      <c r="J19" s="609">
        <f>SUM('Anlage 1e'!J19+'Anlage 1f'!J19)</f>
        <v>7</v>
      </c>
      <c r="K19" s="609">
        <f>'Anlage 1a'!K19</f>
        <v>2</v>
      </c>
      <c r="L19" s="32">
        <f t="shared" si="2"/>
        <v>16</v>
      </c>
      <c r="M19" s="33">
        <f t="shared" si="2"/>
        <v>8</v>
      </c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7"/>
      <c r="Z19" s="35"/>
      <c r="AA19" s="36"/>
      <c r="AB19" s="35"/>
      <c r="AC19" s="34"/>
      <c r="AD19" s="34"/>
      <c r="AE19" s="34"/>
      <c r="AF19" s="34"/>
      <c r="AG19" s="36"/>
      <c r="AH19" s="35"/>
      <c r="AI19" s="36"/>
      <c r="AJ19" s="612">
        <f t="shared" si="7"/>
        <v>16</v>
      </c>
      <c r="AK19" s="33">
        <f t="shared" si="7"/>
        <v>8</v>
      </c>
      <c r="AL19" s="27"/>
    </row>
    <row r="20" spans="1:38" ht="15.75" x14ac:dyDescent="0.25">
      <c r="A20" s="27" t="s">
        <v>290</v>
      </c>
      <c r="B20" s="28"/>
      <c r="C20" s="72"/>
      <c r="D20" s="631">
        <f>SUM('Anlage 1e'!D20+'Anlage 1f'!D20)</f>
        <v>1</v>
      </c>
      <c r="E20" s="608">
        <f>'Anlage 1a'!E20</f>
        <v>1</v>
      </c>
      <c r="F20" s="609">
        <f>SUM('Anlage 1e'!F20+'Anlage 1f'!F20)</f>
        <v>3</v>
      </c>
      <c r="G20" s="609">
        <f>'Anlage 1a'!G20</f>
        <v>1</v>
      </c>
      <c r="H20" s="609">
        <f>SUM('Anlage 1e'!H20+'Anlage 1f'!H20)</f>
        <v>4</v>
      </c>
      <c r="I20" s="609">
        <f>'Anlage 1a'!I20</f>
        <v>1</v>
      </c>
      <c r="J20" s="609">
        <f>SUM('Anlage 1e'!J20+'Anlage 1f'!J20)</f>
        <v>1</v>
      </c>
      <c r="K20" s="609">
        <f>'Anlage 1a'!K20</f>
        <v>1</v>
      </c>
      <c r="L20" s="32">
        <f t="shared" si="2"/>
        <v>9</v>
      </c>
      <c r="M20" s="33">
        <f t="shared" si="2"/>
        <v>4</v>
      </c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614"/>
      <c r="Z20" s="615"/>
      <c r="AA20" s="616"/>
      <c r="AB20" s="620"/>
      <c r="AC20" s="613"/>
      <c r="AD20" s="613"/>
      <c r="AE20" s="34"/>
      <c r="AF20" s="34"/>
      <c r="AG20" s="36"/>
      <c r="AH20" s="35"/>
      <c r="AI20" s="36"/>
      <c r="AJ20" s="612">
        <f>SUM(L20,Z20,AH20)</f>
        <v>9</v>
      </c>
      <c r="AK20" s="33">
        <f t="shared" si="7"/>
        <v>4</v>
      </c>
      <c r="AL20" s="27"/>
    </row>
    <row r="21" spans="1:38" ht="16.5" thickBot="1" x14ac:dyDescent="0.3">
      <c r="A21" s="38" t="s">
        <v>300</v>
      </c>
      <c r="B21" s="73"/>
      <c r="C21" s="40"/>
      <c r="D21" s="631">
        <f>SUM('Anlage 1e'!D21+'Anlage 1f'!D21)</f>
        <v>0</v>
      </c>
      <c r="E21" s="608">
        <f>'Anlage 1a'!E21</f>
        <v>3</v>
      </c>
      <c r="F21" s="609">
        <f>SUM('Anlage 1e'!F21+'Anlage 1f'!F21)</f>
        <v>0</v>
      </c>
      <c r="G21" s="609">
        <f>'Anlage 1a'!G21</f>
        <v>3</v>
      </c>
      <c r="H21" s="609">
        <f>SUM('Anlage 1e'!H21+'Anlage 1f'!H21)</f>
        <v>0</v>
      </c>
      <c r="I21" s="609">
        <f>'Anlage 1a'!I21</f>
        <v>3</v>
      </c>
      <c r="J21" s="609">
        <f>SUM('Anlage 1e'!J21+'Anlage 1f'!J21)</f>
        <v>1</v>
      </c>
      <c r="K21" s="609">
        <f>'Anlage 1a'!K21</f>
        <v>3</v>
      </c>
      <c r="L21" s="43">
        <f t="shared" si="2"/>
        <v>1</v>
      </c>
      <c r="M21" s="44">
        <f>SUM(E21,G21,I21,K21)</f>
        <v>12</v>
      </c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9"/>
      <c r="Z21" s="617"/>
      <c r="AA21" s="618"/>
      <c r="AB21" s="617"/>
      <c r="AC21" s="621"/>
      <c r="AD21" s="621"/>
      <c r="AE21" s="621"/>
      <c r="AF21" s="621"/>
      <c r="AG21" s="622"/>
      <c r="AH21" s="617"/>
      <c r="AI21" s="618"/>
      <c r="AJ21" s="623">
        <f>SUM(L21,Z21,AH21)</f>
        <v>1</v>
      </c>
      <c r="AK21" s="44">
        <f t="shared" si="7"/>
        <v>12</v>
      </c>
      <c r="AL21" s="38"/>
    </row>
    <row r="22" spans="1:38" ht="16.5" thickBot="1" x14ac:dyDescent="0.3">
      <c r="A22" s="50" t="s">
        <v>31</v>
      </c>
      <c r="B22" s="51"/>
      <c r="C22" s="52"/>
      <c r="D22" s="632">
        <f>SUM(D17:D21)</f>
        <v>11</v>
      </c>
      <c r="E22" s="632">
        <f t="shared" ref="E22:J22" si="8">SUM(E17:E21)</f>
        <v>9</v>
      </c>
      <c r="F22" s="632">
        <f t="shared" si="8"/>
        <v>10</v>
      </c>
      <c r="G22" s="632">
        <f t="shared" si="8"/>
        <v>9</v>
      </c>
      <c r="H22" s="632">
        <f t="shared" si="8"/>
        <v>11</v>
      </c>
      <c r="I22" s="632">
        <f t="shared" si="8"/>
        <v>10</v>
      </c>
      <c r="J22" s="632">
        <f t="shared" si="8"/>
        <v>10</v>
      </c>
      <c r="K22" s="54">
        <f t="shared" ref="K22:AK22" si="9">SUM(K17,K18,K19,K20,K21)</f>
        <v>9</v>
      </c>
      <c r="L22" s="55">
        <f t="shared" si="9"/>
        <v>42</v>
      </c>
      <c r="M22" s="56">
        <f t="shared" si="9"/>
        <v>37</v>
      </c>
      <c r="N22" s="57">
        <f t="shared" si="9"/>
        <v>0</v>
      </c>
      <c r="O22" s="57">
        <f t="shared" si="9"/>
        <v>0</v>
      </c>
      <c r="P22" s="57">
        <f t="shared" si="9"/>
        <v>0</v>
      </c>
      <c r="Q22" s="57">
        <f t="shared" si="9"/>
        <v>0</v>
      </c>
      <c r="R22" s="57">
        <f t="shared" si="9"/>
        <v>0</v>
      </c>
      <c r="S22" s="57">
        <f t="shared" si="9"/>
        <v>0</v>
      </c>
      <c r="T22" s="57">
        <f t="shared" si="9"/>
        <v>0</v>
      </c>
      <c r="U22" s="57">
        <f t="shared" si="9"/>
        <v>0</v>
      </c>
      <c r="V22" s="57">
        <f t="shared" si="9"/>
        <v>0</v>
      </c>
      <c r="W22" s="57">
        <f t="shared" si="9"/>
        <v>0</v>
      </c>
      <c r="X22" s="57">
        <f>SUM(X17,X18,X19,X20,X21)</f>
        <v>0</v>
      </c>
      <c r="Y22" s="57">
        <f>SUM(Y17,Y18,Y19,Y20,Y21)</f>
        <v>0</v>
      </c>
      <c r="Z22" s="58"/>
      <c r="AA22" s="59"/>
      <c r="AB22" s="60"/>
      <c r="AC22" s="57"/>
      <c r="AD22" s="57"/>
      <c r="AE22" s="57"/>
      <c r="AF22" s="57"/>
      <c r="AG22" s="57"/>
      <c r="AH22" s="58"/>
      <c r="AI22" s="60"/>
      <c r="AJ22" s="55">
        <f t="shared" si="9"/>
        <v>42</v>
      </c>
      <c r="AK22" s="56">
        <f t="shared" si="9"/>
        <v>37</v>
      </c>
      <c r="AL22" s="50"/>
    </row>
    <row r="23" spans="1:38" ht="15.75" x14ac:dyDescent="0.25">
      <c r="A23" s="61" t="s">
        <v>32</v>
      </c>
      <c r="B23" s="62"/>
      <c r="C23" s="63"/>
      <c r="D23" s="631">
        <f>SUM('Anlage 1e'!D23+'Anlage 1f'!D23)</f>
        <v>0</v>
      </c>
      <c r="E23" s="608">
        <f>'Anlage 1a'!E23</f>
        <v>4</v>
      </c>
      <c r="F23" s="609">
        <f>SUM('Anlage 1e'!F23+'Anlage 1f'!F23)</f>
        <v>5</v>
      </c>
      <c r="G23" s="609">
        <f>'Anlage 1a'!G23</f>
        <v>4</v>
      </c>
      <c r="H23" s="609">
        <f>SUM('Anlage 1e'!H23+'Anlage 1f'!H23)</f>
        <v>0</v>
      </c>
      <c r="I23" s="609">
        <f>'Anlage 1a'!I23</f>
        <v>3</v>
      </c>
      <c r="J23" s="609">
        <f>SUM('Anlage 1e'!J23+'Anlage 1f'!J23)</f>
        <v>1</v>
      </c>
      <c r="K23" s="609">
        <f>'Anlage 1a'!K23</f>
        <v>4</v>
      </c>
      <c r="L23" s="66">
        <f>SUM(D23,F23,H23,J23)</f>
        <v>6</v>
      </c>
      <c r="M23" s="67">
        <f>SUM(E23,G23,I23,K23)</f>
        <v>15</v>
      </c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9"/>
      <c r="AA23" s="70"/>
      <c r="AB23" s="68"/>
      <c r="AC23" s="68"/>
      <c r="AD23" s="68"/>
      <c r="AE23" s="68"/>
      <c r="AF23" s="68"/>
      <c r="AG23" s="68"/>
      <c r="AH23" s="69"/>
      <c r="AI23" s="71"/>
      <c r="AJ23" s="66">
        <f>SUM(L23,Z23,AH23)</f>
        <v>6</v>
      </c>
      <c r="AK23" s="67">
        <f>SUM(M23,AA23,AI23)</f>
        <v>15</v>
      </c>
      <c r="AL23" s="61"/>
    </row>
    <row r="24" spans="1:38" ht="16.5" thickBot="1" x14ac:dyDescent="0.3">
      <c r="A24" s="38" t="s">
        <v>33</v>
      </c>
      <c r="B24" s="73"/>
      <c r="C24" s="40"/>
      <c r="D24" s="631">
        <f>SUM('Anlage 1e'!D24+'Anlage 1f'!D24)</f>
        <v>0</v>
      </c>
      <c r="E24" s="608">
        <f>'Anlage 1a'!E24</f>
        <v>2</v>
      </c>
      <c r="F24" s="609">
        <f>SUM('Anlage 1e'!F24+'Anlage 1f'!F24)</f>
        <v>1</v>
      </c>
      <c r="G24" s="609">
        <f>'Anlage 1a'!G24</f>
        <v>2</v>
      </c>
      <c r="H24" s="609">
        <f>SUM('Anlage 1e'!H24+'Anlage 1f'!H24)</f>
        <v>1</v>
      </c>
      <c r="I24" s="609">
        <f>'Anlage 1a'!I24</f>
        <v>2</v>
      </c>
      <c r="J24" s="609">
        <f>SUM('Anlage 1e'!J24+'Anlage 1f'!J24)</f>
        <v>0</v>
      </c>
      <c r="K24" s="609">
        <f>'Anlage 1a'!K24</f>
        <v>2</v>
      </c>
      <c r="L24" s="43">
        <f>SUM(D24,F24,H24,J24)</f>
        <v>2</v>
      </c>
      <c r="M24" s="44">
        <f>SUM(E24,G24,I24,K24)</f>
        <v>8</v>
      </c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6">
        <f>SUM(N24,P24,R24,T24,V24,X24)</f>
        <v>0</v>
      </c>
      <c r="AA24" s="47">
        <f>SUM(O24,Q24,S24,U24,W24,Y24)</f>
        <v>0</v>
      </c>
      <c r="AB24" s="45"/>
      <c r="AC24" s="45"/>
      <c r="AD24" s="45"/>
      <c r="AE24" s="45"/>
      <c r="AF24" s="45"/>
      <c r="AG24" s="48"/>
      <c r="AH24" s="46">
        <f>SUM(AB24,AD24,AF24)</f>
        <v>0</v>
      </c>
      <c r="AI24" s="49">
        <f>SUM(AC24,AE24,AG24)</f>
        <v>0</v>
      </c>
      <c r="AJ24" s="43">
        <f>SUM(L24,Z24,AH24)</f>
        <v>2</v>
      </c>
      <c r="AK24" s="44">
        <f>SUM(M24,AA24,AI24)</f>
        <v>8</v>
      </c>
      <c r="AL24" s="38"/>
    </row>
    <row r="25" spans="1:38" ht="16.5" thickBot="1" x14ac:dyDescent="0.3">
      <c r="A25" s="50" t="s">
        <v>34</v>
      </c>
      <c r="B25" s="51"/>
      <c r="C25" s="52"/>
      <c r="D25" s="53">
        <f>SUM(D23,D24)</f>
        <v>0</v>
      </c>
      <c r="E25" s="53">
        <f t="shared" ref="E25:AK25" si="10">SUM(E23,E24)</f>
        <v>6</v>
      </c>
      <c r="F25" s="53">
        <f t="shared" si="10"/>
        <v>6</v>
      </c>
      <c r="G25" s="53">
        <f t="shared" si="10"/>
        <v>6</v>
      </c>
      <c r="H25" s="53">
        <f t="shared" si="10"/>
        <v>1</v>
      </c>
      <c r="I25" s="53">
        <f t="shared" si="10"/>
        <v>5</v>
      </c>
      <c r="J25" s="53">
        <f>SUM(J23,J24)</f>
        <v>1</v>
      </c>
      <c r="K25" s="75">
        <f t="shared" si="10"/>
        <v>6</v>
      </c>
      <c r="L25" s="55">
        <f t="shared" si="10"/>
        <v>8</v>
      </c>
      <c r="M25" s="76">
        <f t="shared" si="10"/>
        <v>23</v>
      </c>
      <c r="N25" s="77">
        <f t="shared" si="10"/>
        <v>0</v>
      </c>
      <c r="O25" s="77">
        <f t="shared" si="10"/>
        <v>0</v>
      </c>
      <c r="P25" s="77">
        <f t="shared" si="10"/>
        <v>0</v>
      </c>
      <c r="Q25" s="77">
        <f t="shared" si="10"/>
        <v>0</v>
      </c>
      <c r="R25" s="77">
        <f t="shared" si="10"/>
        <v>0</v>
      </c>
      <c r="S25" s="77">
        <f t="shared" si="10"/>
        <v>0</v>
      </c>
      <c r="T25" s="77">
        <f t="shared" si="10"/>
        <v>0</v>
      </c>
      <c r="U25" s="77">
        <f t="shared" si="10"/>
        <v>0</v>
      </c>
      <c r="V25" s="77">
        <f t="shared" si="10"/>
        <v>0</v>
      </c>
      <c r="W25" s="77">
        <f t="shared" si="10"/>
        <v>0</v>
      </c>
      <c r="X25" s="77">
        <f t="shared" si="10"/>
        <v>0</v>
      </c>
      <c r="Y25" s="78">
        <f t="shared" si="10"/>
        <v>0</v>
      </c>
      <c r="Z25" s="79">
        <f t="shared" si="10"/>
        <v>0</v>
      </c>
      <c r="AA25" s="80">
        <f t="shared" si="10"/>
        <v>0</v>
      </c>
      <c r="AB25" s="77">
        <f t="shared" si="10"/>
        <v>0</v>
      </c>
      <c r="AC25" s="77">
        <f t="shared" si="10"/>
        <v>0</v>
      </c>
      <c r="AD25" s="77">
        <f t="shared" si="10"/>
        <v>0</v>
      </c>
      <c r="AE25" s="77">
        <f t="shared" si="10"/>
        <v>0</v>
      </c>
      <c r="AF25" s="77">
        <f t="shared" si="10"/>
        <v>0</v>
      </c>
      <c r="AG25" s="78">
        <f t="shared" si="10"/>
        <v>0</v>
      </c>
      <c r="AH25" s="79">
        <f t="shared" si="10"/>
        <v>0</v>
      </c>
      <c r="AI25" s="80">
        <f t="shared" si="10"/>
        <v>0</v>
      </c>
      <c r="AJ25" s="53">
        <f t="shared" si="10"/>
        <v>8</v>
      </c>
      <c r="AK25" s="53">
        <f t="shared" si="10"/>
        <v>23</v>
      </c>
      <c r="AL25" s="50"/>
    </row>
    <row r="26" spans="1:38" ht="16.5" thickBot="1" x14ac:dyDescent="0.3">
      <c r="A26" s="81" t="s">
        <v>293</v>
      </c>
      <c r="B26" s="82"/>
      <c r="C26" s="83"/>
      <c r="D26" s="84">
        <f>SUM(D25,D22,D16,D9)</f>
        <v>55</v>
      </c>
      <c r="E26" s="85">
        <f t="shared" ref="E26:AK26" si="11">SUM(E25,E22,E16,E9)</f>
        <v>37</v>
      </c>
      <c r="F26" s="85">
        <f t="shared" si="11"/>
        <v>67</v>
      </c>
      <c r="G26" s="85">
        <f t="shared" si="11"/>
        <v>35</v>
      </c>
      <c r="H26" s="85">
        <f t="shared" si="11"/>
        <v>25</v>
      </c>
      <c r="I26" s="85">
        <f t="shared" si="11"/>
        <v>37</v>
      </c>
      <c r="J26" s="85">
        <f>SUM(J25,J22,J16,J9)</f>
        <v>23</v>
      </c>
      <c r="K26" s="86">
        <f t="shared" si="11"/>
        <v>38</v>
      </c>
      <c r="L26" s="87">
        <f t="shared" si="11"/>
        <v>170</v>
      </c>
      <c r="M26" s="88">
        <f t="shared" si="11"/>
        <v>147</v>
      </c>
      <c r="N26" s="89">
        <f t="shared" si="11"/>
        <v>0</v>
      </c>
      <c r="O26" s="90">
        <f t="shared" si="11"/>
        <v>0</v>
      </c>
      <c r="P26" s="90">
        <f t="shared" si="11"/>
        <v>0</v>
      </c>
      <c r="Q26" s="90">
        <f t="shared" si="11"/>
        <v>0</v>
      </c>
      <c r="R26" s="90">
        <f t="shared" si="11"/>
        <v>0</v>
      </c>
      <c r="S26" s="90">
        <f t="shared" si="11"/>
        <v>0</v>
      </c>
      <c r="T26" s="90">
        <f t="shared" si="11"/>
        <v>0</v>
      </c>
      <c r="U26" s="90">
        <f t="shared" si="11"/>
        <v>0</v>
      </c>
      <c r="V26" s="90">
        <f t="shared" si="11"/>
        <v>0</v>
      </c>
      <c r="W26" s="90">
        <f t="shared" si="11"/>
        <v>0</v>
      </c>
      <c r="X26" s="90">
        <f>SUM(X25,X22,X16,X9)</f>
        <v>0</v>
      </c>
      <c r="Y26" s="91">
        <f>SUM(Y25,Y22,Y16,Y9)</f>
        <v>0</v>
      </c>
      <c r="Z26" s="92">
        <f>SUM(Z25,Z22,Z16,Z9)</f>
        <v>0</v>
      </c>
      <c r="AA26" s="93">
        <f t="shared" si="11"/>
        <v>0</v>
      </c>
      <c r="AB26" s="89">
        <f t="shared" si="11"/>
        <v>0</v>
      </c>
      <c r="AC26" s="90">
        <f t="shared" si="11"/>
        <v>0</v>
      </c>
      <c r="AD26" s="90">
        <f t="shared" si="11"/>
        <v>0</v>
      </c>
      <c r="AE26" s="90">
        <f t="shared" si="11"/>
        <v>0</v>
      </c>
      <c r="AF26" s="90">
        <f t="shared" si="11"/>
        <v>0</v>
      </c>
      <c r="AG26" s="90">
        <f t="shared" si="11"/>
        <v>0</v>
      </c>
      <c r="AH26" s="92">
        <f t="shared" si="11"/>
        <v>0</v>
      </c>
      <c r="AI26" s="91">
        <f t="shared" si="11"/>
        <v>0</v>
      </c>
      <c r="AJ26" s="87">
        <f t="shared" si="11"/>
        <v>170</v>
      </c>
      <c r="AK26" s="88">
        <f t="shared" si="11"/>
        <v>147</v>
      </c>
      <c r="AL26" s="81"/>
    </row>
    <row r="27" spans="1:38" ht="16.5" thickBot="1" x14ac:dyDescent="0.3">
      <c r="A27" s="27" t="s">
        <v>36</v>
      </c>
      <c r="B27" s="94"/>
      <c r="C27" s="95"/>
      <c r="D27" s="96"/>
      <c r="E27" s="34"/>
      <c r="F27" s="34"/>
      <c r="G27" s="34"/>
      <c r="H27" s="34"/>
      <c r="I27" s="34"/>
      <c r="J27" s="34"/>
      <c r="K27" s="34"/>
      <c r="L27" s="35">
        <f>SUM(D27,F27,H27,J27)</f>
        <v>0</v>
      </c>
      <c r="M27" s="36">
        <f>SUM(E27,G27,I27,K27)</f>
        <v>0</v>
      </c>
      <c r="N27" s="608">
        <f>SUM('Anlage 1e'!N27+'Anlage 1f'!N27)</f>
        <v>5</v>
      </c>
      <c r="O27" s="608">
        <f>'Anlage 1a'!O27</f>
        <v>3</v>
      </c>
      <c r="P27" s="608">
        <f>SUM('Anlage 1e'!P27+'Anlage 1f'!P27)</f>
        <v>8</v>
      </c>
      <c r="Q27" s="608">
        <f>'Anlage 1a'!Q27</f>
        <v>2</v>
      </c>
      <c r="R27" s="608">
        <f>SUM('Anlage 1e'!R27+'Anlage 1f'!R27)</f>
        <v>4</v>
      </c>
      <c r="S27" s="608">
        <f>'Anlage 1a'!S27</f>
        <v>2</v>
      </c>
      <c r="T27" s="608">
        <f>SUM('Anlage 1e'!T27+'Anlage 1f'!T27)</f>
        <v>4</v>
      </c>
      <c r="U27" s="608">
        <f>'Anlage 1a'!U27</f>
        <v>2</v>
      </c>
      <c r="V27" s="608">
        <f>SUM('Anlage 1e'!V27+'Anlage 1f'!V27)</f>
        <v>1</v>
      </c>
      <c r="W27" s="608">
        <f>'Anlage 1a'!W27</f>
        <v>2</v>
      </c>
      <c r="X27" s="608">
        <f>SUM('Anlage 1e'!X27+'Anlage 1f'!X27)</f>
        <v>1</v>
      </c>
      <c r="Y27" s="608">
        <f>'Anlage 1a'!Y27</f>
        <v>2</v>
      </c>
      <c r="Z27" s="97">
        <f>SUM(N27,P27,R27,T27,V27,X27)</f>
        <v>23</v>
      </c>
      <c r="AA27" s="98">
        <f>SUM(O27,Q27,S27,U27,W27,Y27)</f>
        <v>13</v>
      </c>
      <c r="AB27" s="96"/>
      <c r="AC27" s="34"/>
      <c r="AD27" s="34"/>
      <c r="AE27" s="34"/>
      <c r="AF27" s="34"/>
      <c r="AG27" s="37"/>
      <c r="AH27" s="99"/>
      <c r="AI27" s="100"/>
      <c r="AJ27" s="32">
        <f>SUM(L27,Z27,AH27)</f>
        <v>23</v>
      </c>
      <c r="AK27" s="98">
        <f>SUM(M27,AA27,AI27)</f>
        <v>13</v>
      </c>
      <c r="AL27" s="27"/>
    </row>
    <row r="28" spans="1:38" ht="16.5" thickBot="1" x14ac:dyDescent="0.3">
      <c r="A28" s="101" t="s">
        <v>38</v>
      </c>
      <c r="B28" s="102"/>
      <c r="C28" s="103"/>
      <c r="D28" s="632"/>
      <c r="E28" s="633"/>
      <c r="F28" s="633"/>
      <c r="G28" s="633"/>
      <c r="H28" s="633"/>
      <c r="I28" s="633"/>
      <c r="J28" s="633"/>
      <c r="K28" s="633"/>
      <c r="L28" s="832"/>
      <c r="M28" s="833"/>
      <c r="N28" s="633">
        <f t="shared" ref="N28:AA28" si="12">SUM(N26:N27)</f>
        <v>5</v>
      </c>
      <c r="O28" s="633">
        <f t="shared" si="12"/>
        <v>3</v>
      </c>
      <c r="P28" s="633">
        <f t="shared" si="12"/>
        <v>8</v>
      </c>
      <c r="Q28" s="633">
        <f t="shared" si="12"/>
        <v>2</v>
      </c>
      <c r="R28" s="633">
        <f t="shared" si="12"/>
        <v>4</v>
      </c>
      <c r="S28" s="633">
        <f t="shared" si="12"/>
        <v>2</v>
      </c>
      <c r="T28" s="633">
        <f t="shared" si="12"/>
        <v>4</v>
      </c>
      <c r="U28" s="633">
        <f t="shared" si="12"/>
        <v>2</v>
      </c>
      <c r="V28" s="633">
        <f t="shared" si="12"/>
        <v>1</v>
      </c>
      <c r="W28" s="633">
        <f t="shared" si="12"/>
        <v>2</v>
      </c>
      <c r="X28" s="633">
        <f t="shared" si="12"/>
        <v>1</v>
      </c>
      <c r="Y28" s="104">
        <f t="shared" si="12"/>
        <v>2</v>
      </c>
      <c r="Z28" s="55">
        <f t="shared" si="12"/>
        <v>23</v>
      </c>
      <c r="AA28" s="56">
        <f t="shared" si="12"/>
        <v>13</v>
      </c>
      <c r="AB28" s="53"/>
      <c r="AC28" s="54"/>
      <c r="AD28" s="54"/>
      <c r="AE28" s="54"/>
      <c r="AF28" s="54"/>
      <c r="AG28" s="104"/>
      <c r="AH28" s="55"/>
      <c r="AI28" s="56"/>
      <c r="AJ28" s="55">
        <f>SUM(AJ27)</f>
        <v>23</v>
      </c>
      <c r="AK28" s="56">
        <f>AK27</f>
        <v>13</v>
      </c>
      <c r="AL28" s="101"/>
    </row>
    <row r="29" spans="1:38" ht="16.5" thickBot="1" x14ac:dyDescent="0.3">
      <c r="A29" s="61" t="s">
        <v>282</v>
      </c>
      <c r="B29" s="105"/>
      <c r="C29" s="106"/>
      <c r="D29" s="107"/>
      <c r="E29" s="68"/>
      <c r="F29" s="68"/>
      <c r="G29" s="68"/>
      <c r="H29" s="68"/>
      <c r="I29" s="68"/>
      <c r="J29" s="68"/>
      <c r="K29" s="71"/>
      <c r="L29" s="99"/>
      <c r="M29" s="100"/>
      <c r="N29" s="631">
        <f>SUM('Anlage 1e'!N29+'Anlage 1f'!N29)</f>
        <v>0</v>
      </c>
      <c r="O29" s="609">
        <f>'Anlage 1a'!O29</f>
        <v>4</v>
      </c>
      <c r="P29" s="609">
        <f>SUM('Anlage 1e'!P29+'Anlage 1f'!P29)</f>
        <v>5</v>
      </c>
      <c r="Q29" s="609">
        <f>'Anlage 1a'!Q29</f>
        <v>4</v>
      </c>
      <c r="R29" s="609">
        <f>SUM('Anlage 1e'!R29+'Anlage 1f'!R29)</f>
        <v>7</v>
      </c>
      <c r="S29" s="609">
        <f>'Anlage 1a'!S29</f>
        <v>4</v>
      </c>
      <c r="T29" s="609">
        <f>SUM('Anlage 1e'!T29+'Anlage 1f'!T29)</f>
        <v>3</v>
      </c>
      <c r="U29" s="609">
        <f>'Anlage 1a'!U29</f>
        <v>4</v>
      </c>
      <c r="V29" s="609">
        <f>SUM('Anlage 1e'!V29+'Anlage 1f'!V29)</f>
        <v>2</v>
      </c>
      <c r="W29" s="609">
        <f>'Anlage 1a'!W29</f>
        <v>4</v>
      </c>
      <c r="X29" s="609">
        <f>SUM('Anlage 1e'!X29+'Anlage 1f'!X29)</f>
        <v>0</v>
      </c>
      <c r="Y29" s="609">
        <f>'Anlage 1a'!Y29</f>
        <v>4</v>
      </c>
      <c r="Z29" s="66">
        <f>SUM(N29,P29,R29,T29,V29,X29)</f>
        <v>17</v>
      </c>
      <c r="AA29" s="67">
        <f>SUM(O29,Q29,S29,U29,W29,Y29)</f>
        <v>24</v>
      </c>
      <c r="AB29" s="107"/>
      <c r="AC29" s="68"/>
      <c r="AD29" s="68"/>
      <c r="AE29" s="68"/>
      <c r="AF29" s="68"/>
      <c r="AG29" s="71"/>
      <c r="AH29" s="69"/>
      <c r="AI29" s="70"/>
      <c r="AJ29" s="66">
        <f>SUM(L29,Z29,AH29)</f>
        <v>17</v>
      </c>
      <c r="AK29" s="67">
        <f>SUM(M29,AA29,AI29)</f>
        <v>24</v>
      </c>
      <c r="AL29" s="61"/>
    </row>
    <row r="30" spans="1:38" ht="16.5" hidden="1" thickBot="1" x14ac:dyDescent="0.3">
      <c r="A30" s="646" t="s">
        <v>177</v>
      </c>
      <c r="B30" s="647"/>
      <c r="C30" s="648"/>
      <c r="D30" s="649"/>
      <c r="E30" s="650"/>
      <c r="F30" s="650"/>
      <c r="G30" s="650"/>
      <c r="H30" s="650"/>
      <c r="I30" s="650"/>
      <c r="J30" s="650"/>
      <c r="K30" s="651"/>
      <c r="L30" s="652"/>
      <c r="M30" s="653"/>
      <c r="N30" s="654"/>
      <c r="O30" s="639"/>
      <c r="P30" s="639"/>
      <c r="Q30" s="639"/>
      <c r="R30" s="639"/>
      <c r="S30" s="639"/>
      <c r="T30" s="639"/>
      <c r="U30" s="639"/>
      <c r="V30" s="639"/>
      <c r="W30" s="639"/>
      <c r="X30" s="639"/>
      <c r="Y30" s="639"/>
      <c r="Z30" s="655"/>
      <c r="AA30" s="656"/>
      <c r="AB30" s="649"/>
      <c r="AC30" s="650"/>
      <c r="AD30" s="650"/>
      <c r="AE30" s="650"/>
      <c r="AF30" s="650"/>
      <c r="AG30" s="651"/>
      <c r="AH30" s="652"/>
      <c r="AI30" s="653"/>
      <c r="AJ30" s="655"/>
      <c r="AK30" s="656"/>
      <c r="AL30" s="38"/>
    </row>
    <row r="31" spans="1:38" ht="16.5" thickBot="1" x14ac:dyDescent="0.3">
      <c r="A31" s="101" t="s">
        <v>55</v>
      </c>
      <c r="B31" s="102"/>
      <c r="C31" s="103"/>
      <c r="D31" s="632"/>
      <c r="E31" s="633"/>
      <c r="F31" s="633"/>
      <c r="G31" s="633"/>
      <c r="H31" s="633"/>
      <c r="I31" s="633"/>
      <c r="J31" s="633"/>
      <c r="K31" s="834"/>
      <c r="L31" s="832"/>
      <c r="M31" s="833"/>
      <c r="N31" s="632">
        <f t="shared" ref="N31:AA31" si="13">SUM(N29:N30)</f>
        <v>0</v>
      </c>
      <c r="O31" s="633">
        <f t="shared" si="13"/>
        <v>4</v>
      </c>
      <c r="P31" s="633">
        <f t="shared" si="13"/>
        <v>5</v>
      </c>
      <c r="Q31" s="633">
        <f t="shared" si="13"/>
        <v>4</v>
      </c>
      <c r="R31" s="633">
        <f t="shared" si="13"/>
        <v>7</v>
      </c>
      <c r="S31" s="633">
        <f t="shared" si="13"/>
        <v>4</v>
      </c>
      <c r="T31" s="633">
        <f t="shared" si="13"/>
        <v>3</v>
      </c>
      <c r="U31" s="633">
        <f t="shared" si="13"/>
        <v>4</v>
      </c>
      <c r="V31" s="633">
        <f t="shared" si="13"/>
        <v>2</v>
      </c>
      <c r="W31" s="633">
        <f t="shared" si="13"/>
        <v>4</v>
      </c>
      <c r="X31" s="633">
        <f t="shared" si="13"/>
        <v>0</v>
      </c>
      <c r="Y31" s="104">
        <f t="shared" si="13"/>
        <v>4</v>
      </c>
      <c r="Z31" s="55">
        <f t="shared" si="13"/>
        <v>17</v>
      </c>
      <c r="AA31" s="56">
        <f t="shared" si="13"/>
        <v>24</v>
      </c>
      <c r="AB31" s="53"/>
      <c r="AC31" s="54"/>
      <c r="AD31" s="54"/>
      <c r="AE31" s="54"/>
      <c r="AF31" s="54"/>
      <c r="AG31" s="104"/>
      <c r="AH31" s="55"/>
      <c r="AI31" s="56"/>
      <c r="AJ31" s="55">
        <f>SUM(AJ29:AJ30)</f>
        <v>17</v>
      </c>
      <c r="AK31" s="56">
        <f>SUM(AK29:AK30)</f>
        <v>24</v>
      </c>
      <c r="AL31" s="101"/>
    </row>
    <row r="32" spans="1:38" ht="15.75" x14ac:dyDescent="0.25">
      <c r="A32" s="61" t="s">
        <v>39</v>
      </c>
      <c r="B32" s="105"/>
      <c r="C32" s="106"/>
      <c r="D32" s="107"/>
      <c r="E32" s="68"/>
      <c r="F32" s="68"/>
      <c r="G32" s="68"/>
      <c r="H32" s="68"/>
      <c r="I32" s="68"/>
      <c r="J32" s="68"/>
      <c r="K32" s="71"/>
      <c r="L32" s="69">
        <f t="shared" ref="L32:M35" si="14">SUM(D32,F32,H32,J32)</f>
        <v>0</v>
      </c>
      <c r="M32" s="70">
        <f t="shared" si="14"/>
        <v>0</v>
      </c>
      <c r="N32" s="631">
        <f>SUM('Anlage 1e'!N32+'Anlage 1f'!N32)</f>
        <v>2</v>
      </c>
      <c r="O32" s="609">
        <f>'Anlage 1a'!O32</f>
        <v>2</v>
      </c>
      <c r="P32" s="609">
        <f>SUM('Anlage 1e'!P32+'Anlage 1f'!P32)</f>
        <v>5</v>
      </c>
      <c r="Q32" s="609">
        <f>'Anlage 1a'!Q32</f>
        <v>2</v>
      </c>
      <c r="R32" s="609">
        <f>SUM('Anlage 1e'!R32+'Anlage 1f'!R32)</f>
        <v>0</v>
      </c>
      <c r="S32" s="609">
        <f>'Anlage 1a'!S32</f>
        <v>2</v>
      </c>
      <c r="T32" s="609">
        <f>SUM('Anlage 1e'!T32+'Anlage 1f'!T32)</f>
        <v>6</v>
      </c>
      <c r="U32" s="609">
        <f>'Anlage 1a'!U32</f>
        <v>3</v>
      </c>
      <c r="V32" s="609">
        <f>SUM('Anlage 1e'!V32+'Anlage 1f'!V32)</f>
        <v>1</v>
      </c>
      <c r="W32" s="609">
        <f>'Anlage 1a'!W32</f>
        <v>3</v>
      </c>
      <c r="X32" s="609"/>
      <c r="Y32" s="609">
        <f>'Anlage 1a'!Y32</f>
        <v>0</v>
      </c>
      <c r="Z32" s="66">
        <f t="shared" ref="Z32:AA35" si="15">SUM(N32,P32,R32,T32,V32,X32)</f>
        <v>14</v>
      </c>
      <c r="AA32" s="67">
        <f t="shared" si="15"/>
        <v>12</v>
      </c>
      <c r="AB32" s="631">
        <f>SUM('Anlage 1e'!AB32+'Anlage 1f'!AB32)</f>
        <v>1</v>
      </c>
      <c r="AC32" s="609">
        <f>'Anlage 1a'!AC32</f>
        <v>5</v>
      </c>
      <c r="AD32" s="609">
        <f>SUM('Anlage 1e'!AD32+'Anlage 1f'!AD32)</f>
        <v>0</v>
      </c>
      <c r="AE32" s="609">
        <f>'Anlage 1a'!AE32</f>
        <v>4</v>
      </c>
      <c r="AF32" s="609">
        <f>SUM('Anlage 1e'!AF32+'Anlage 1f'!AF32)</f>
        <v>0</v>
      </c>
      <c r="AG32" s="609">
        <f>'Anlage 1a'!AG32</f>
        <v>4</v>
      </c>
      <c r="AH32" s="32">
        <f>SUM(AB32,AD32,AF32)</f>
        <v>1</v>
      </c>
      <c r="AI32" s="110">
        <f>'Anlage 1a'!AI32</f>
        <v>13</v>
      </c>
      <c r="AJ32" s="66">
        <f>SUM(L32,Z32,AH32)</f>
        <v>15</v>
      </c>
      <c r="AK32" s="67">
        <f>SUM(M32,AA32,AI32)</f>
        <v>25</v>
      </c>
      <c r="AL32" s="61"/>
    </row>
    <row r="33" spans="1:38" ht="15.75" x14ac:dyDescent="0.25">
      <c r="A33" s="27" t="s">
        <v>40</v>
      </c>
      <c r="B33" s="111"/>
      <c r="C33" s="112"/>
      <c r="D33" s="96"/>
      <c r="E33" s="34"/>
      <c r="F33" s="34"/>
      <c r="G33" s="34"/>
      <c r="H33" s="34"/>
      <c r="I33" s="34"/>
      <c r="J33" s="34"/>
      <c r="K33" s="37"/>
      <c r="L33" s="35">
        <f t="shared" si="14"/>
        <v>0</v>
      </c>
      <c r="M33" s="36">
        <f t="shared" si="14"/>
        <v>0</v>
      </c>
      <c r="N33" s="631">
        <f>SUM('Anlage 1e'!N33+'Anlage 1f'!N33)</f>
        <v>0</v>
      </c>
      <c r="O33" s="609">
        <f>'Anlage 1a'!O33</f>
        <v>5</v>
      </c>
      <c r="P33" s="609">
        <f>SUM('Anlage 1e'!P33+'Anlage 1f'!P33)</f>
        <v>0</v>
      </c>
      <c r="Q33" s="609">
        <f>'Anlage 1a'!Q33</f>
        <v>5</v>
      </c>
      <c r="R33" s="609">
        <f>SUM('Anlage 1e'!R33+'Anlage 1f'!R33)</f>
        <v>0</v>
      </c>
      <c r="S33" s="609">
        <f>'Anlage 1a'!S33</f>
        <v>5</v>
      </c>
      <c r="T33" s="609">
        <f>SUM('Anlage 1e'!T33+'Anlage 1f'!T33)</f>
        <v>0</v>
      </c>
      <c r="U33" s="609">
        <f>'Anlage 1a'!U33</f>
        <v>5</v>
      </c>
      <c r="V33" s="609">
        <f>SUM('Anlage 1e'!V33+'Anlage 1f'!V33)</f>
        <v>0</v>
      </c>
      <c r="W33" s="609">
        <f>'Anlage 1a'!W33</f>
        <v>5</v>
      </c>
      <c r="X33" s="609"/>
      <c r="Y33" s="609">
        <f>'Anlage 1a'!Y33</f>
        <v>0</v>
      </c>
      <c r="Z33" s="66">
        <f t="shared" si="15"/>
        <v>0</v>
      </c>
      <c r="AA33" s="33">
        <f t="shared" si="15"/>
        <v>25</v>
      </c>
      <c r="AB33" s="631">
        <f>SUM('Anlage 1e'!AB33+'Anlage 1f'!AB33)</f>
        <v>0</v>
      </c>
      <c r="AC33" s="609">
        <f>'Anlage 1a'!AC33</f>
        <v>7</v>
      </c>
      <c r="AD33" s="609">
        <f>SUM('Anlage 1e'!AD33+'Anlage 1f'!AD33)</f>
        <v>0</v>
      </c>
      <c r="AE33" s="609">
        <f>'Anlage 1a'!AE33</f>
        <v>9</v>
      </c>
      <c r="AF33" s="609">
        <f>SUM('Anlage 1e'!AF33+'Anlage 1f'!AF33)</f>
        <v>0</v>
      </c>
      <c r="AG33" s="609">
        <f>'Anlage 1a'!AG33</f>
        <v>7</v>
      </c>
      <c r="AH33" s="32">
        <f>SUM(AB33,AD33,AF33)</f>
        <v>0</v>
      </c>
      <c r="AI33" s="110">
        <f>'Anlage 1a'!AI33</f>
        <v>23</v>
      </c>
      <c r="AJ33" s="32">
        <f>SUM(Z33+AH33)</f>
        <v>0</v>
      </c>
      <c r="AK33" s="33">
        <f>SUM(M33,AA33,AI33)</f>
        <v>48</v>
      </c>
      <c r="AL33" s="27"/>
    </row>
    <row r="34" spans="1:38" ht="15.75" x14ac:dyDescent="0.25">
      <c r="A34" s="27" t="s">
        <v>41</v>
      </c>
      <c r="B34" s="111"/>
      <c r="C34" s="112"/>
      <c r="D34" s="96"/>
      <c r="E34" s="34"/>
      <c r="F34" s="34"/>
      <c r="G34" s="34"/>
      <c r="H34" s="34"/>
      <c r="I34" s="34"/>
      <c r="J34" s="34"/>
      <c r="K34" s="37"/>
      <c r="L34" s="35">
        <f t="shared" si="14"/>
        <v>0</v>
      </c>
      <c r="M34" s="36">
        <f t="shared" si="14"/>
        <v>0</v>
      </c>
      <c r="N34" s="631">
        <f>SUM('Anlage 1e'!N34+'Anlage 1f'!N34)</f>
        <v>1</v>
      </c>
      <c r="O34" s="609">
        <f>'Anlage 1a'!O34</f>
        <v>4</v>
      </c>
      <c r="P34" s="609">
        <f>SUM('Anlage 1e'!P34+'Anlage 1f'!P34)</f>
        <v>1</v>
      </c>
      <c r="Q34" s="609">
        <f>'Anlage 1a'!Q34</f>
        <v>5</v>
      </c>
      <c r="R34" s="609">
        <f>SUM('Anlage 1e'!R34+'Anlage 1f'!R34)</f>
        <v>3</v>
      </c>
      <c r="S34" s="609">
        <f>'Anlage 1a'!S34</f>
        <v>4</v>
      </c>
      <c r="T34" s="609">
        <f>SUM('Anlage 1e'!T34+'Anlage 1f'!T34)</f>
        <v>3</v>
      </c>
      <c r="U34" s="609">
        <f>'Anlage 1a'!U34</f>
        <v>4</v>
      </c>
      <c r="V34" s="609">
        <f>SUM('Anlage 1e'!V34+'Anlage 1f'!V34)</f>
        <v>3</v>
      </c>
      <c r="W34" s="609">
        <f>'Anlage 1a'!W34</f>
        <v>4</v>
      </c>
      <c r="X34" s="609"/>
      <c r="Y34" s="609">
        <f>'Anlage 1a'!Y34</f>
        <v>0</v>
      </c>
      <c r="Z34" s="32">
        <f t="shared" si="15"/>
        <v>11</v>
      </c>
      <c r="AA34" s="33">
        <f t="shared" si="15"/>
        <v>21</v>
      </c>
      <c r="AB34" s="631">
        <f>SUM('Anlage 1e'!AB34+'Anlage 1f'!AB34)</f>
        <v>0</v>
      </c>
      <c r="AC34" s="609">
        <f>'Anlage 1a'!AC34</f>
        <v>5</v>
      </c>
      <c r="AD34" s="609">
        <f>SUM('Anlage 1e'!AD34+'Anlage 1f'!AD34)</f>
        <v>0</v>
      </c>
      <c r="AE34" s="609">
        <f>'Anlage 1a'!AE34</f>
        <v>5</v>
      </c>
      <c r="AF34" s="609">
        <f>SUM('Anlage 1e'!AF34+'Anlage 1f'!AF34)</f>
        <v>0</v>
      </c>
      <c r="AG34" s="609">
        <f>'Anlage 1a'!AG34</f>
        <v>5</v>
      </c>
      <c r="AH34" s="32">
        <f>SUM(AB34,AD34,AF34)</f>
        <v>0</v>
      </c>
      <c r="AI34" s="110">
        <f>'Anlage 1a'!AI34</f>
        <v>15</v>
      </c>
      <c r="AJ34" s="32">
        <f>SUM(L34,Z34,AH34)</f>
        <v>11</v>
      </c>
      <c r="AK34" s="33">
        <f>SUM(M34,AA34,AI34)</f>
        <v>36</v>
      </c>
      <c r="AL34" s="27"/>
    </row>
    <row r="35" spans="1:38" ht="16.5" thickBot="1" x14ac:dyDescent="0.3">
      <c r="A35" s="27" t="s">
        <v>42</v>
      </c>
      <c r="B35" s="111"/>
      <c r="C35" s="112"/>
      <c r="D35" s="96"/>
      <c r="E35" s="34"/>
      <c r="F35" s="34"/>
      <c r="G35" s="34"/>
      <c r="H35" s="34"/>
      <c r="I35" s="34"/>
      <c r="J35" s="34"/>
      <c r="K35" s="37"/>
      <c r="L35" s="35">
        <f t="shared" si="14"/>
        <v>0</v>
      </c>
      <c r="M35" s="36">
        <f t="shared" si="14"/>
        <v>0</v>
      </c>
      <c r="N35" s="631">
        <f>SUM('Anlage 1e'!N35+'Anlage 1f'!N35)</f>
        <v>1</v>
      </c>
      <c r="O35" s="609">
        <f>'Anlage 1a'!O35</f>
        <v>3</v>
      </c>
      <c r="P35" s="609">
        <f>SUM('Anlage 1e'!P35+'Anlage 1f'!P35)</f>
        <v>0</v>
      </c>
      <c r="Q35" s="609">
        <f>'Anlage 1a'!Q35</f>
        <v>4</v>
      </c>
      <c r="R35" s="609">
        <f>SUM('Anlage 1e'!R35+'Anlage 1f'!R35)</f>
        <v>0</v>
      </c>
      <c r="S35" s="609">
        <f>'Anlage 1a'!S35</f>
        <v>4</v>
      </c>
      <c r="T35" s="609">
        <f>SUM('Anlage 1e'!T35+'Anlage 1f'!T35)</f>
        <v>0</v>
      </c>
      <c r="U35" s="609">
        <f>'Anlage 1a'!U35</f>
        <v>4</v>
      </c>
      <c r="V35" s="609">
        <f>SUM('Anlage 1e'!V35+'Anlage 1f'!V35)</f>
        <v>0</v>
      </c>
      <c r="W35" s="609">
        <f>'Anlage 1a'!W35</f>
        <v>4</v>
      </c>
      <c r="X35" s="609"/>
      <c r="Y35" s="609">
        <f>'Anlage 1a'!Y35</f>
        <v>0</v>
      </c>
      <c r="Z35" s="113">
        <f t="shared" si="15"/>
        <v>1</v>
      </c>
      <c r="AA35" s="114">
        <f t="shared" si="15"/>
        <v>19</v>
      </c>
      <c r="AB35" s="631">
        <f>SUM('Anlage 1e'!AB35+'Anlage 1f'!AB35)</f>
        <v>0</v>
      </c>
      <c r="AC35" s="609">
        <f>'Anlage 1a'!AC35</f>
        <v>5</v>
      </c>
      <c r="AD35" s="609">
        <f>SUM('Anlage 1e'!AD35+'Anlage 1f'!AD35)</f>
        <v>0</v>
      </c>
      <c r="AE35" s="609">
        <f>'Anlage 1a'!AE35</f>
        <v>5</v>
      </c>
      <c r="AF35" s="609">
        <f>SUM('Anlage 1e'!AF35+'Anlage 1f'!AF35)</f>
        <v>0</v>
      </c>
      <c r="AG35" s="609">
        <f>'Anlage 1a'!AG35</f>
        <v>4</v>
      </c>
      <c r="AH35" s="113">
        <f>SUM(AB35,AD35,AF35)</f>
        <v>0</v>
      </c>
      <c r="AI35" s="110">
        <f>'Anlage 1a'!AI35</f>
        <v>14</v>
      </c>
      <c r="AJ35" s="113">
        <f>SUM(L35,Z35,AH35)</f>
        <v>1</v>
      </c>
      <c r="AK35" s="114">
        <f>SUM(M35,AA35,AI35)</f>
        <v>33</v>
      </c>
      <c r="AL35" s="27"/>
    </row>
    <row r="36" spans="1:38" ht="16.5" thickBot="1" x14ac:dyDescent="0.3">
      <c r="A36" s="50" t="s">
        <v>43</v>
      </c>
      <c r="B36" s="115"/>
      <c r="C36" s="116"/>
      <c r="D36" s="835">
        <f t="shared" ref="D36:AK36" si="16">SUM(D32,D33,D34:D35)</f>
        <v>0</v>
      </c>
      <c r="E36" s="836">
        <f t="shared" si="16"/>
        <v>0</v>
      </c>
      <c r="F36" s="836">
        <f t="shared" si="16"/>
        <v>0</v>
      </c>
      <c r="G36" s="836">
        <f t="shared" si="16"/>
        <v>0</v>
      </c>
      <c r="H36" s="836">
        <f t="shared" si="16"/>
        <v>0</v>
      </c>
      <c r="I36" s="836">
        <f t="shared" si="16"/>
        <v>0</v>
      </c>
      <c r="J36" s="836">
        <f t="shared" si="16"/>
        <v>0</v>
      </c>
      <c r="K36" s="837">
        <f t="shared" si="16"/>
        <v>0</v>
      </c>
      <c r="L36" s="838"/>
      <c r="M36" s="839"/>
      <c r="N36" s="632">
        <f t="shared" si="16"/>
        <v>4</v>
      </c>
      <c r="O36" s="633">
        <f t="shared" si="16"/>
        <v>14</v>
      </c>
      <c r="P36" s="633">
        <f t="shared" si="16"/>
        <v>6</v>
      </c>
      <c r="Q36" s="633">
        <f t="shared" si="16"/>
        <v>16</v>
      </c>
      <c r="R36" s="633">
        <f t="shared" si="16"/>
        <v>3</v>
      </c>
      <c r="S36" s="633">
        <f t="shared" si="16"/>
        <v>15</v>
      </c>
      <c r="T36" s="633">
        <f t="shared" si="16"/>
        <v>9</v>
      </c>
      <c r="U36" s="633">
        <f t="shared" si="16"/>
        <v>16</v>
      </c>
      <c r="V36" s="633">
        <f t="shared" si="16"/>
        <v>4</v>
      </c>
      <c r="W36" s="633">
        <f t="shared" si="16"/>
        <v>16</v>
      </c>
      <c r="X36" s="633">
        <f t="shared" si="16"/>
        <v>0</v>
      </c>
      <c r="Y36" s="54">
        <f t="shared" si="16"/>
        <v>0</v>
      </c>
      <c r="Z36" s="55">
        <f t="shared" si="16"/>
        <v>26</v>
      </c>
      <c r="AA36" s="56">
        <f t="shared" si="16"/>
        <v>77</v>
      </c>
      <c r="AB36" s="633">
        <f t="shared" si="16"/>
        <v>1</v>
      </c>
      <c r="AC36" s="633">
        <v>25</v>
      </c>
      <c r="AD36" s="633">
        <f t="shared" si="16"/>
        <v>0</v>
      </c>
      <c r="AE36" s="633">
        <v>23</v>
      </c>
      <c r="AF36" s="633">
        <f t="shared" si="16"/>
        <v>0</v>
      </c>
      <c r="AG36" s="633">
        <v>23</v>
      </c>
      <c r="AH36" s="55">
        <f t="shared" si="16"/>
        <v>1</v>
      </c>
      <c r="AI36" s="104">
        <f t="shared" si="16"/>
        <v>65</v>
      </c>
      <c r="AJ36" s="55">
        <f t="shared" si="16"/>
        <v>27</v>
      </c>
      <c r="AK36" s="56">
        <f t="shared" si="16"/>
        <v>142</v>
      </c>
      <c r="AL36" s="50"/>
    </row>
    <row r="37" spans="1:38" ht="15.75" x14ac:dyDescent="0.25">
      <c r="A37" s="27" t="s">
        <v>295</v>
      </c>
      <c r="B37" s="111"/>
      <c r="C37" s="112"/>
      <c r="D37" s="96"/>
      <c r="E37" s="34"/>
      <c r="F37" s="34"/>
      <c r="G37" s="34"/>
      <c r="H37" s="34"/>
      <c r="I37" s="34"/>
      <c r="J37" s="34"/>
      <c r="K37" s="34"/>
      <c r="L37" s="35">
        <f>SUM(D37,F37,H37,J37)</f>
        <v>0</v>
      </c>
      <c r="M37" s="36">
        <f>SUM(E37,G37,I37,K37)</f>
        <v>0</v>
      </c>
      <c r="N37" s="608">
        <f>SUM('Anlage 1e'!N37+'Anlage 1f'!N37)</f>
        <v>1</v>
      </c>
      <c r="O37" s="608">
        <f>'Anlage 1a'!O37</f>
        <v>5</v>
      </c>
      <c r="P37" s="608">
        <f>SUM('Anlage 1e'!P37+'Anlage 1f'!P37)</f>
        <v>3</v>
      </c>
      <c r="Q37" s="608">
        <f>'Anlage 1a'!Q37</f>
        <v>5</v>
      </c>
      <c r="R37" s="608">
        <f>SUM('Anlage 1e'!R37+'Anlage 1f'!R37)</f>
        <v>0</v>
      </c>
      <c r="S37" s="608">
        <f>'Anlage 1a'!S37</f>
        <v>5</v>
      </c>
      <c r="T37" s="608">
        <f>SUM('Anlage 1e'!T37+'Anlage 1f'!T37)</f>
        <v>2</v>
      </c>
      <c r="U37" s="608">
        <f>'Anlage 1a'!U37</f>
        <v>5</v>
      </c>
      <c r="V37" s="608">
        <f>SUM('Anlage 1e'!V37+'Anlage 1f'!V37)</f>
        <v>1</v>
      </c>
      <c r="W37" s="608">
        <f>'Anlage 1a'!W37</f>
        <v>5</v>
      </c>
      <c r="X37" s="608">
        <f>SUM('Anlage 1e'!X37+'Anlage 1f'!X37)</f>
        <v>0</v>
      </c>
      <c r="Y37" s="608">
        <f>'Anlage 1a'!Y37</f>
        <v>4</v>
      </c>
      <c r="Z37" s="32">
        <f t="shared" ref="Z37:AA39" si="17">SUM(N37,P37,R37,T37,V37,X37)</f>
        <v>7</v>
      </c>
      <c r="AA37" s="33">
        <f t="shared" si="17"/>
        <v>29</v>
      </c>
      <c r="AB37" s="608">
        <f>SUM('Anlage 1e'!AB37+'Anlage 1f'!AB37)</f>
        <v>0</v>
      </c>
      <c r="AC37" s="609">
        <f>'Anlage 1a'!AC37</f>
        <v>4</v>
      </c>
      <c r="AD37" s="609">
        <f>SUM('Anlage 1e'!AD37+'Anlage 1f'!AD37)</f>
        <v>0</v>
      </c>
      <c r="AE37" s="609">
        <f>'Anlage 1a'!AE37</f>
        <v>2</v>
      </c>
      <c r="AF37" s="609">
        <f>SUM('Anlage 1e'!AF37+'Anlage 1f'!AF37)</f>
        <v>0</v>
      </c>
      <c r="AG37" s="609">
        <f>'Anlage 1a'!AG37</f>
        <v>3</v>
      </c>
      <c r="AH37" s="97">
        <f>SUM(AB37,AD37,AF37)</f>
        <v>0</v>
      </c>
      <c r="AI37" s="110">
        <f>'Anlage 1a'!AI37</f>
        <v>9</v>
      </c>
      <c r="AJ37" s="32">
        <f t="shared" ref="AJ37:AK39" si="18">SUM(L37,Z37,AH37)</f>
        <v>7</v>
      </c>
      <c r="AK37" s="33">
        <f t="shared" si="18"/>
        <v>38</v>
      </c>
      <c r="AL37" s="27"/>
    </row>
    <row r="38" spans="1:38" ht="15.75" x14ac:dyDescent="0.25">
      <c r="A38" s="27" t="s">
        <v>284</v>
      </c>
      <c r="B38" s="111"/>
      <c r="C38" s="112"/>
      <c r="D38" s="96"/>
      <c r="E38" s="34"/>
      <c r="F38" s="34"/>
      <c r="G38" s="34"/>
      <c r="H38" s="34"/>
      <c r="I38" s="34"/>
      <c r="J38" s="34"/>
      <c r="K38" s="34"/>
      <c r="L38" s="35">
        <f>SUM(D38,F38,H38,J38)</f>
        <v>0</v>
      </c>
      <c r="M38" s="36">
        <f>SUM(E38,G38,I38,K38)</f>
        <v>0</v>
      </c>
      <c r="N38" s="608">
        <f>SUM('Anlage 1e'!N38+'Anlage 1f'!N38)</f>
        <v>0</v>
      </c>
      <c r="O38" s="608">
        <f>'Anlage 1a'!O38</f>
        <v>5</v>
      </c>
      <c r="P38" s="608">
        <f>SUM('Anlage 1e'!P38+'Anlage 1f'!P38)</f>
        <v>0</v>
      </c>
      <c r="Q38" s="608">
        <f>'Anlage 1a'!Q38</f>
        <v>4</v>
      </c>
      <c r="R38" s="608">
        <f>SUM('Anlage 1e'!R38+'Anlage 1f'!R38)</f>
        <v>2</v>
      </c>
      <c r="S38" s="608">
        <f>'Anlage 1a'!S38</f>
        <v>4</v>
      </c>
      <c r="T38" s="608">
        <f>SUM('Anlage 1e'!T38+'Anlage 1f'!T38)</f>
        <v>1</v>
      </c>
      <c r="U38" s="608">
        <f>'Anlage 1a'!U38</f>
        <v>5</v>
      </c>
      <c r="V38" s="608">
        <f>SUM('Anlage 1e'!V38+'Anlage 1f'!V38)</f>
        <v>0</v>
      </c>
      <c r="W38" s="608">
        <f>'Anlage 1a'!W38</f>
        <v>5</v>
      </c>
      <c r="X38" s="608">
        <f>SUM('Anlage 1e'!X38+'Anlage 1f'!X38)</f>
        <v>0</v>
      </c>
      <c r="Y38" s="608">
        <f>'Anlage 1a'!Y38</f>
        <v>5</v>
      </c>
      <c r="Z38" s="32">
        <f t="shared" si="17"/>
        <v>3</v>
      </c>
      <c r="AA38" s="33">
        <f t="shared" si="17"/>
        <v>28</v>
      </c>
      <c r="AB38" s="608">
        <f>SUM('Anlage 1e'!AB38+'Anlage 1f'!AB38)</f>
        <v>0</v>
      </c>
      <c r="AC38" s="609">
        <f>'Anlage 1a'!AC38</f>
        <v>3</v>
      </c>
      <c r="AD38" s="609">
        <f>SUM('Anlage 1e'!AD38+'Anlage 1f'!AD38)</f>
        <v>0</v>
      </c>
      <c r="AE38" s="609">
        <f>'Anlage 1a'!AE38</f>
        <v>3</v>
      </c>
      <c r="AF38" s="609">
        <f>SUM('Anlage 1e'!AF38+'Anlage 1f'!AF38)</f>
        <v>0</v>
      </c>
      <c r="AG38" s="609">
        <f>'Anlage 1a'!AG38</f>
        <v>3</v>
      </c>
      <c r="AH38" s="32">
        <f>SUM(AB38,AD38,AF38)</f>
        <v>0</v>
      </c>
      <c r="AI38" s="110">
        <f>'Anlage 1a'!AI38</f>
        <v>9</v>
      </c>
      <c r="AJ38" s="32">
        <f t="shared" si="18"/>
        <v>3</v>
      </c>
      <c r="AK38" s="33">
        <f t="shared" si="18"/>
        <v>37</v>
      </c>
      <c r="AL38" s="27"/>
    </row>
    <row r="39" spans="1:38" ht="16.5" thickBot="1" x14ac:dyDescent="0.3">
      <c r="A39" s="27" t="s">
        <v>296</v>
      </c>
      <c r="B39" s="111"/>
      <c r="C39" s="112"/>
      <c r="D39" s="96"/>
      <c r="E39" s="34"/>
      <c r="F39" s="34"/>
      <c r="G39" s="34"/>
      <c r="H39" s="34"/>
      <c r="I39" s="34"/>
      <c r="J39" s="34"/>
      <c r="K39" s="34"/>
      <c r="L39" s="35">
        <f>SUM(D39,F39,H39,J39)</f>
        <v>0</v>
      </c>
      <c r="M39" s="36">
        <v>0</v>
      </c>
      <c r="N39" s="608">
        <f>SUM('Anlage 1e'!N39+'Anlage 1f'!N39)</f>
        <v>0</v>
      </c>
      <c r="O39" s="608">
        <f>'Anlage 1a'!O39</f>
        <v>4</v>
      </c>
      <c r="P39" s="608">
        <f>SUM('Anlage 1e'!P39+'Anlage 1f'!P39)</f>
        <v>0</v>
      </c>
      <c r="Q39" s="608">
        <f>'Anlage 1a'!Q39</f>
        <v>4</v>
      </c>
      <c r="R39" s="608">
        <f>SUM('Anlage 1e'!R39+'Anlage 1f'!R39)</f>
        <v>0</v>
      </c>
      <c r="S39" s="608">
        <f>'Anlage 1a'!S39</f>
        <v>4</v>
      </c>
      <c r="T39" s="608">
        <f>SUM('Anlage 1e'!T39+'Anlage 1f'!T39)</f>
        <v>0</v>
      </c>
      <c r="U39" s="608">
        <f>'Anlage 1a'!U39</f>
        <v>4</v>
      </c>
      <c r="V39" s="608">
        <f>SUM('Anlage 1e'!V39+'Anlage 1f'!V39)</f>
        <v>0</v>
      </c>
      <c r="W39" s="608">
        <f>'Anlage 1a'!W39</f>
        <v>4</v>
      </c>
      <c r="X39" s="608">
        <f>SUM('Anlage 1e'!X39+'Anlage 1f'!X39)</f>
        <v>0</v>
      </c>
      <c r="Y39" s="608">
        <f>'Anlage 1a'!Y39</f>
        <v>4</v>
      </c>
      <c r="Z39" s="32">
        <f t="shared" si="17"/>
        <v>0</v>
      </c>
      <c r="AA39" s="33">
        <f t="shared" si="17"/>
        <v>24</v>
      </c>
      <c r="AB39" s="608">
        <f>SUM('Anlage 1e'!AB39+'Anlage 1f'!AB39)</f>
        <v>0</v>
      </c>
      <c r="AC39" s="609">
        <f>'Anlage 1a'!AC39</f>
        <v>5</v>
      </c>
      <c r="AD39" s="609">
        <f>SUM('Anlage 1e'!AD39+'Anlage 1f'!AD39)</f>
        <v>0</v>
      </c>
      <c r="AE39" s="609">
        <f>'Anlage 1a'!AE39</f>
        <v>5</v>
      </c>
      <c r="AF39" s="609">
        <f>SUM('Anlage 1e'!AF39+'Anlage 1f'!AF39)</f>
        <v>0</v>
      </c>
      <c r="AG39" s="609">
        <f>'Anlage 1a'!AG39</f>
        <v>4</v>
      </c>
      <c r="AH39" s="113">
        <f>SUM(AB39,AD39,AF39)</f>
        <v>0</v>
      </c>
      <c r="AI39" s="110">
        <f>'Anlage 1a'!AI39</f>
        <v>14</v>
      </c>
      <c r="AJ39" s="32">
        <f t="shared" si="18"/>
        <v>0</v>
      </c>
      <c r="AK39" s="33">
        <f t="shared" si="18"/>
        <v>38</v>
      </c>
      <c r="AL39" s="27"/>
    </row>
    <row r="40" spans="1:38" ht="16.5" thickBot="1" x14ac:dyDescent="0.3">
      <c r="A40" s="50" t="s">
        <v>46</v>
      </c>
      <c r="B40" s="115"/>
      <c r="C40" s="116"/>
      <c r="D40" s="835"/>
      <c r="E40" s="836">
        <f t="shared" ref="E40:AK40" si="19">SUM(E37:E39)</f>
        <v>0</v>
      </c>
      <c r="F40" s="836">
        <f t="shared" si="19"/>
        <v>0</v>
      </c>
      <c r="G40" s="836">
        <f t="shared" si="19"/>
        <v>0</v>
      </c>
      <c r="H40" s="836">
        <f t="shared" si="19"/>
        <v>0</v>
      </c>
      <c r="I40" s="836">
        <f t="shared" si="19"/>
        <v>0</v>
      </c>
      <c r="J40" s="836">
        <f t="shared" si="19"/>
        <v>0</v>
      </c>
      <c r="K40" s="836">
        <f t="shared" si="19"/>
        <v>0</v>
      </c>
      <c r="L40" s="838">
        <f t="shared" si="19"/>
        <v>0</v>
      </c>
      <c r="M40" s="839">
        <f t="shared" si="19"/>
        <v>0</v>
      </c>
      <c r="N40" s="54">
        <f t="shared" si="19"/>
        <v>1</v>
      </c>
      <c r="O40" s="54">
        <f t="shared" si="19"/>
        <v>14</v>
      </c>
      <c r="P40" s="54">
        <f t="shared" si="19"/>
        <v>3</v>
      </c>
      <c r="Q40" s="54">
        <f t="shared" si="19"/>
        <v>13</v>
      </c>
      <c r="R40" s="54">
        <f t="shared" si="19"/>
        <v>2</v>
      </c>
      <c r="S40" s="54">
        <f t="shared" si="19"/>
        <v>13</v>
      </c>
      <c r="T40" s="54">
        <f t="shared" si="19"/>
        <v>3</v>
      </c>
      <c r="U40" s="54">
        <f t="shared" si="19"/>
        <v>14</v>
      </c>
      <c r="V40" s="54">
        <f t="shared" si="19"/>
        <v>1</v>
      </c>
      <c r="W40" s="54">
        <f t="shared" si="19"/>
        <v>14</v>
      </c>
      <c r="X40" s="54">
        <f t="shared" si="19"/>
        <v>0</v>
      </c>
      <c r="Y40" s="54">
        <f t="shared" si="19"/>
        <v>13</v>
      </c>
      <c r="Z40" s="55">
        <f t="shared" si="19"/>
        <v>10</v>
      </c>
      <c r="AA40" s="56">
        <f t="shared" si="19"/>
        <v>81</v>
      </c>
      <c r="AB40" s="54">
        <f t="shared" si="19"/>
        <v>0</v>
      </c>
      <c r="AC40" s="54">
        <v>12</v>
      </c>
      <c r="AD40" s="54">
        <f t="shared" si="19"/>
        <v>0</v>
      </c>
      <c r="AE40" s="54">
        <v>12</v>
      </c>
      <c r="AF40" s="54">
        <f t="shared" si="19"/>
        <v>0</v>
      </c>
      <c r="AG40" s="54">
        <v>10</v>
      </c>
      <c r="AH40" s="55">
        <f t="shared" si="19"/>
        <v>0</v>
      </c>
      <c r="AI40" s="104">
        <f t="shared" si="19"/>
        <v>32</v>
      </c>
      <c r="AJ40" s="55">
        <f t="shared" si="19"/>
        <v>10</v>
      </c>
      <c r="AK40" s="56">
        <f t="shared" si="19"/>
        <v>113</v>
      </c>
      <c r="AL40" s="50"/>
    </row>
    <row r="41" spans="1:38" ht="16.5" thickBot="1" x14ac:dyDescent="0.3">
      <c r="A41" s="81" t="s">
        <v>47</v>
      </c>
      <c r="B41" s="82"/>
      <c r="C41" s="118"/>
      <c r="D41" s="89">
        <f t="shared" ref="D41:AB41" si="20">SUM(D28,D31,D36,D40)</f>
        <v>0</v>
      </c>
      <c r="E41" s="90">
        <f t="shared" si="20"/>
        <v>0</v>
      </c>
      <c r="F41" s="90">
        <f t="shared" si="20"/>
        <v>0</v>
      </c>
      <c r="G41" s="90">
        <f t="shared" si="20"/>
        <v>0</v>
      </c>
      <c r="H41" s="90">
        <f t="shared" si="20"/>
        <v>0</v>
      </c>
      <c r="I41" s="90">
        <f t="shared" si="20"/>
        <v>0</v>
      </c>
      <c r="J41" s="90">
        <f t="shared" si="20"/>
        <v>0</v>
      </c>
      <c r="K41" s="90">
        <f t="shared" si="20"/>
        <v>0</v>
      </c>
      <c r="L41" s="92">
        <f t="shared" si="20"/>
        <v>0</v>
      </c>
      <c r="M41" s="93">
        <f t="shared" si="20"/>
        <v>0</v>
      </c>
      <c r="N41" s="85">
        <f t="shared" si="20"/>
        <v>10</v>
      </c>
      <c r="O41" s="85">
        <f t="shared" si="20"/>
        <v>35</v>
      </c>
      <c r="P41" s="85">
        <f t="shared" si="20"/>
        <v>22</v>
      </c>
      <c r="Q41" s="85">
        <f t="shared" si="20"/>
        <v>35</v>
      </c>
      <c r="R41" s="85">
        <f t="shared" si="20"/>
        <v>16</v>
      </c>
      <c r="S41" s="85">
        <f t="shared" si="20"/>
        <v>34</v>
      </c>
      <c r="T41" s="85">
        <f t="shared" si="20"/>
        <v>19</v>
      </c>
      <c r="U41" s="85">
        <f t="shared" si="20"/>
        <v>36</v>
      </c>
      <c r="V41" s="85">
        <f t="shared" si="20"/>
        <v>8</v>
      </c>
      <c r="W41" s="85">
        <f t="shared" si="20"/>
        <v>36</v>
      </c>
      <c r="X41" s="85">
        <f t="shared" si="20"/>
        <v>1</v>
      </c>
      <c r="Y41" s="85">
        <f t="shared" si="20"/>
        <v>19</v>
      </c>
      <c r="Z41" s="87">
        <f t="shared" si="20"/>
        <v>76</v>
      </c>
      <c r="AA41" s="88">
        <f t="shared" si="20"/>
        <v>195</v>
      </c>
      <c r="AB41" s="85">
        <f t="shared" si="20"/>
        <v>1</v>
      </c>
      <c r="AC41" s="85">
        <f>SUM(AC40,AC36,AC31,AC28)</f>
        <v>37</v>
      </c>
      <c r="AD41" s="85">
        <f>SUM(AD28,AD31,AD36,AD40)</f>
        <v>0</v>
      </c>
      <c r="AE41" s="85">
        <f>SUM(AE40,AE36,AE31,AE28)</f>
        <v>35</v>
      </c>
      <c r="AF41" s="85">
        <f>SUM(AF28,AF31,AF36,AF40)</f>
        <v>0</v>
      </c>
      <c r="AG41" s="85">
        <f>SUM(AG40,AG36,AG31,AG28)</f>
        <v>33</v>
      </c>
      <c r="AH41" s="87">
        <f>SUM(AH28,AH31,AH36,AH40)</f>
        <v>1</v>
      </c>
      <c r="AI41" s="86">
        <f>SUM(AI28,AI31,AI36,AI40)</f>
        <v>97</v>
      </c>
      <c r="AJ41" s="87">
        <f>SUM(AJ28,AJ31,AJ36,AJ40)</f>
        <v>77</v>
      </c>
      <c r="AK41" s="88">
        <f>AK28+AK31+AK36+AK40</f>
        <v>292</v>
      </c>
      <c r="AL41" s="81"/>
    </row>
    <row r="42" spans="1:38" ht="16.5" thickBot="1" x14ac:dyDescent="0.3">
      <c r="A42" s="81" t="s">
        <v>48</v>
      </c>
      <c r="B42" s="87" t="e">
        <f>SUM(B26,B41,#REF!)</f>
        <v>#REF!</v>
      </c>
      <c r="C42" s="88" t="e">
        <f>SUM(C26,C41,#REF!)</f>
        <v>#REF!</v>
      </c>
      <c r="D42" s="84">
        <f>SUM(D26,D41)</f>
        <v>55</v>
      </c>
      <c r="E42" s="84">
        <f t="shared" ref="E42:AK42" si="21">SUM(E26,E41)</f>
        <v>37</v>
      </c>
      <c r="F42" s="84">
        <f t="shared" si="21"/>
        <v>67</v>
      </c>
      <c r="G42" s="84">
        <f t="shared" si="21"/>
        <v>35</v>
      </c>
      <c r="H42" s="84">
        <f t="shared" si="21"/>
        <v>25</v>
      </c>
      <c r="I42" s="84">
        <f t="shared" si="21"/>
        <v>37</v>
      </c>
      <c r="J42" s="84">
        <f t="shared" si="21"/>
        <v>23</v>
      </c>
      <c r="K42" s="84">
        <f t="shared" si="21"/>
        <v>38</v>
      </c>
      <c r="L42" s="84">
        <f t="shared" si="21"/>
        <v>170</v>
      </c>
      <c r="M42" s="84">
        <f t="shared" si="21"/>
        <v>147</v>
      </c>
      <c r="N42" s="84">
        <f t="shared" si="21"/>
        <v>10</v>
      </c>
      <c r="O42" s="84">
        <f t="shared" si="21"/>
        <v>35</v>
      </c>
      <c r="P42" s="84">
        <f t="shared" si="21"/>
        <v>22</v>
      </c>
      <c r="Q42" s="84">
        <f t="shared" si="21"/>
        <v>35</v>
      </c>
      <c r="R42" s="84">
        <f t="shared" si="21"/>
        <v>16</v>
      </c>
      <c r="S42" s="84">
        <f t="shared" si="21"/>
        <v>34</v>
      </c>
      <c r="T42" s="84">
        <f t="shared" si="21"/>
        <v>19</v>
      </c>
      <c r="U42" s="84">
        <f t="shared" si="21"/>
        <v>36</v>
      </c>
      <c r="V42" s="84">
        <f t="shared" si="21"/>
        <v>8</v>
      </c>
      <c r="W42" s="84">
        <f t="shared" si="21"/>
        <v>36</v>
      </c>
      <c r="X42" s="84">
        <f t="shared" si="21"/>
        <v>1</v>
      </c>
      <c r="Y42" s="84">
        <f t="shared" si="21"/>
        <v>19</v>
      </c>
      <c r="Z42" s="84">
        <f t="shared" si="21"/>
        <v>76</v>
      </c>
      <c r="AA42" s="84">
        <f t="shared" si="21"/>
        <v>195</v>
      </c>
      <c r="AB42" s="84">
        <f t="shared" si="21"/>
        <v>1</v>
      </c>
      <c r="AC42" s="84">
        <f t="shared" si="21"/>
        <v>37</v>
      </c>
      <c r="AD42" s="84">
        <f t="shared" si="21"/>
        <v>0</v>
      </c>
      <c r="AE42" s="84">
        <f t="shared" si="21"/>
        <v>35</v>
      </c>
      <c r="AF42" s="84">
        <f t="shared" si="21"/>
        <v>0</v>
      </c>
      <c r="AG42" s="84">
        <f t="shared" si="21"/>
        <v>33</v>
      </c>
      <c r="AH42" s="84">
        <f t="shared" si="21"/>
        <v>1</v>
      </c>
      <c r="AI42" s="84">
        <f t="shared" si="21"/>
        <v>97</v>
      </c>
      <c r="AJ42" s="84">
        <f t="shared" si="21"/>
        <v>247</v>
      </c>
      <c r="AK42" s="624">
        <f t="shared" si="21"/>
        <v>439</v>
      </c>
      <c r="AL42" s="119"/>
    </row>
    <row r="44" spans="1:38" x14ac:dyDescent="0.2">
      <c r="A44" t="s">
        <v>312</v>
      </c>
    </row>
    <row r="46" spans="1:38" x14ac:dyDescent="0.2">
      <c r="A46" s="611" t="s">
        <v>204</v>
      </c>
    </row>
  </sheetData>
  <mergeCells count="2">
    <mergeCell ref="A3:A4"/>
    <mergeCell ref="B3:C3"/>
  </mergeCells>
  <hyperlinks>
    <hyperlink ref="A46" location="Übersicht!A1" display="zurück zur Übersicht!"/>
  </hyperlinks>
  <pageMargins left="0.70866141732283472" right="0.70866141732283472" top="0.78740157480314965" bottom="0.78740157480314965" header="0.31496062992125984" footer="0.31496062992125984"/>
  <pageSetup paperSize="9" scale="64" orientation="landscape" r:id="rId1"/>
  <headerFooter>
    <oddHeader>&amp;LFachbereich 9&amp;R&amp;A</oddHeader>
    <oddFooter>&amp;CSeite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9"/>
  <sheetViews>
    <sheetView zoomScale="80" zoomScaleNormal="80" zoomScaleSheetLayoutView="75" zoomScalePageLayoutView="80" workbookViewId="0">
      <selection sqref="A1:AI1"/>
    </sheetView>
  </sheetViews>
  <sheetFormatPr baseColWidth="10" defaultRowHeight="13.5" x14ac:dyDescent="0.25"/>
  <cols>
    <col min="1" max="1" width="25.42578125" style="3" customWidth="1"/>
    <col min="2" max="2" width="5.140625" style="3" customWidth="1"/>
    <col min="3" max="3" width="5.85546875" style="131" customWidth="1"/>
    <col min="4" max="4" width="5.140625" style="3" customWidth="1"/>
    <col min="5" max="5" width="5.85546875" style="131" customWidth="1"/>
    <col min="6" max="6" width="5.140625" style="3" customWidth="1"/>
    <col min="7" max="7" width="5.85546875" style="131" customWidth="1"/>
    <col min="8" max="8" width="5.140625" style="3" customWidth="1"/>
    <col min="9" max="9" width="5.85546875" style="131" customWidth="1"/>
    <col min="10" max="10" width="6.7109375" style="3" bestFit="1" customWidth="1"/>
    <col min="11" max="11" width="6.85546875" style="131" bestFit="1" customWidth="1"/>
    <col min="12" max="12" width="5.140625" style="3" customWidth="1"/>
    <col min="13" max="13" width="5.85546875" style="131" customWidth="1"/>
    <col min="14" max="14" width="4.42578125" style="3" bestFit="1" customWidth="1"/>
    <col min="15" max="15" width="5.85546875" style="131" customWidth="1"/>
    <col min="16" max="16" width="5.140625" style="3" customWidth="1"/>
    <col min="17" max="17" width="5.85546875" style="131" customWidth="1"/>
    <col min="18" max="18" width="5.140625" style="3" customWidth="1"/>
    <col min="19" max="19" width="5.85546875" style="131" customWidth="1"/>
    <col min="20" max="20" width="5.140625" style="3" customWidth="1"/>
    <col min="21" max="21" width="5.85546875" style="131" customWidth="1"/>
    <col min="22" max="22" width="5.140625" style="3" customWidth="1"/>
    <col min="23" max="23" width="5.85546875" style="131" customWidth="1"/>
    <col min="24" max="24" width="6.28515625" style="3" customWidth="1"/>
    <col min="25" max="25" width="5.85546875" style="131" customWidth="1"/>
    <col min="26" max="26" width="5.140625" style="3" customWidth="1"/>
    <col min="27" max="27" width="5.85546875" style="131" customWidth="1"/>
    <col min="28" max="28" width="5.140625" style="3" customWidth="1"/>
    <col min="29" max="29" width="5.85546875" style="131" customWidth="1"/>
    <col min="30" max="30" width="5.140625" style="3" customWidth="1"/>
    <col min="31" max="31" width="5.85546875" style="131" customWidth="1"/>
    <col min="32" max="32" width="5.140625" style="3" customWidth="1"/>
    <col min="33" max="33" width="5.85546875" style="131" customWidth="1"/>
    <col min="34" max="34" width="6.42578125" style="3" customWidth="1"/>
    <col min="35" max="35" width="5.85546875" style="131" customWidth="1"/>
    <col min="36" max="16384" width="11.42578125" style="3"/>
  </cols>
  <sheetData>
    <row r="1" spans="1:42" s="130" customFormat="1" ht="21" x14ac:dyDescent="0.35">
      <c r="A1" s="948" t="s">
        <v>329</v>
      </c>
      <c r="B1" s="948"/>
      <c r="C1" s="948"/>
      <c r="D1" s="948"/>
      <c r="E1" s="948"/>
      <c r="F1" s="948"/>
      <c r="G1" s="948"/>
      <c r="H1" s="948"/>
      <c r="I1" s="948"/>
      <c r="J1" s="948"/>
      <c r="K1" s="948"/>
      <c r="L1" s="948"/>
      <c r="M1" s="948"/>
      <c r="N1" s="948"/>
      <c r="O1" s="948"/>
      <c r="P1" s="948"/>
      <c r="Q1" s="948"/>
      <c r="R1" s="948"/>
      <c r="S1" s="948"/>
      <c r="T1" s="948"/>
      <c r="U1" s="948"/>
      <c r="V1" s="948"/>
      <c r="W1" s="948"/>
      <c r="X1" s="948"/>
      <c r="Y1" s="948"/>
      <c r="Z1" s="948"/>
      <c r="AA1" s="948"/>
      <c r="AB1" s="948"/>
      <c r="AC1" s="948"/>
      <c r="AD1" s="948"/>
      <c r="AE1" s="948"/>
      <c r="AF1" s="948"/>
      <c r="AG1" s="948"/>
      <c r="AH1" s="948"/>
      <c r="AI1" s="948"/>
    </row>
    <row r="2" spans="1:42" ht="14.25" thickBot="1" x14ac:dyDescent="0.3"/>
    <row r="3" spans="1:42" ht="25.5" customHeight="1" x14ac:dyDescent="0.25">
      <c r="A3" s="487"/>
      <c r="B3" s="488" t="s">
        <v>5</v>
      </c>
      <c r="C3" s="489"/>
      <c r="D3" s="490" t="s">
        <v>6</v>
      </c>
      <c r="E3" s="489"/>
      <c r="F3" s="490" t="s">
        <v>7</v>
      </c>
      <c r="G3" s="489"/>
      <c r="H3" s="490" t="s">
        <v>8</v>
      </c>
      <c r="I3" s="489"/>
      <c r="J3" s="491" t="s">
        <v>9</v>
      </c>
      <c r="K3" s="492"/>
      <c r="L3" s="490" t="s">
        <v>10</v>
      </c>
      <c r="M3" s="489"/>
      <c r="N3" s="490" t="s">
        <v>11</v>
      </c>
      <c r="O3" s="489"/>
      <c r="P3" s="490" t="s">
        <v>12</v>
      </c>
      <c r="Q3" s="489"/>
      <c r="R3" s="490" t="s">
        <v>13</v>
      </c>
      <c r="S3" s="489"/>
      <c r="T3" s="490" t="s">
        <v>14</v>
      </c>
      <c r="U3" s="489"/>
      <c r="V3" s="490" t="s">
        <v>15</v>
      </c>
      <c r="W3" s="489"/>
      <c r="X3" s="491" t="s">
        <v>60</v>
      </c>
      <c r="Y3" s="492"/>
      <c r="Z3" s="490" t="s">
        <v>16</v>
      </c>
      <c r="AA3" s="489"/>
      <c r="AB3" s="490" t="s">
        <v>17</v>
      </c>
      <c r="AC3" s="493"/>
      <c r="AD3" s="490" t="s">
        <v>18</v>
      </c>
      <c r="AE3" s="489"/>
      <c r="AF3" s="491" t="s">
        <v>61</v>
      </c>
      <c r="AG3" s="492"/>
      <c r="AH3" s="494" t="s">
        <v>19</v>
      </c>
      <c r="AI3" s="492"/>
      <c r="AJ3" s="140"/>
      <c r="AK3" s="140"/>
      <c r="AL3" s="140"/>
      <c r="AM3" s="140"/>
      <c r="AN3" s="140"/>
      <c r="AO3" s="140"/>
      <c r="AP3" s="140"/>
    </row>
    <row r="4" spans="1:42" ht="20.100000000000001" customHeight="1" thickBot="1" x14ac:dyDescent="0.3">
      <c r="A4" s="495"/>
      <c r="B4" s="496" t="s">
        <v>49</v>
      </c>
      <c r="C4" s="497" t="s">
        <v>50</v>
      </c>
      <c r="D4" s="498" t="s">
        <v>49</v>
      </c>
      <c r="E4" s="497" t="s">
        <v>50</v>
      </c>
      <c r="F4" s="498" t="s">
        <v>49</v>
      </c>
      <c r="G4" s="497" t="s">
        <v>50</v>
      </c>
      <c r="H4" s="498" t="s">
        <v>49</v>
      </c>
      <c r="I4" s="497" t="s">
        <v>50</v>
      </c>
      <c r="J4" s="499" t="s">
        <v>49</v>
      </c>
      <c r="K4" s="500" t="s">
        <v>50</v>
      </c>
      <c r="L4" s="498" t="s">
        <v>49</v>
      </c>
      <c r="M4" s="497" t="s">
        <v>50</v>
      </c>
      <c r="N4" s="498" t="s">
        <v>49</v>
      </c>
      <c r="O4" s="497" t="s">
        <v>50</v>
      </c>
      <c r="P4" s="498" t="s">
        <v>49</v>
      </c>
      <c r="Q4" s="497" t="s">
        <v>50</v>
      </c>
      <c r="R4" s="498" t="s">
        <v>49</v>
      </c>
      <c r="S4" s="497" t="s">
        <v>50</v>
      </c>
      <c r="T4" s="498" t="s">
        <v>49</v>
      </c>
      <c r="U4" s="497" t="s">
        <v>50</v>
      </c>
      <c r="V4" s="498" t="s">
        <v>49</v>
      </c>
      <c r="W4" s="497" t="s">
        <v>50</v>
      </c>
      <c r="X4" s="499" t="s">
        <v>49</v>
      </c>
      <c r="Y4" s="500" t="s">
        <v>50</v>
      </c>
      <c r="Z4" s="498" t="s">
        <v>49</v>
      </c>
      <c r="AA4" s="497" t="s">
        <v>50</v>
      </c>
      <c r="AB4" s="498" t="s">
        <v>49</v>
      </c>
      <c r="AC4" s="497" t="s">
        <v>50</v>
      </c>
      <c r="AD4" s="498" t="s">
        <v>49</v>
      </c>
      <c r="AE4" s="497" t="s">
        <v>50</v>
      </c>
      <c r="AF4" s="499" t="s">
        <v>49</v>
      </c>
      <c r="AG4" s="500" t="s">
        <v>50</v>
      </c>
      <c r="AH4" s="498" t="s">
        <v>49</v>
      </c>
      <c r="AI4" s="500" t="s">
        <v>50</v>
      </c>
    </row>
    <row r="5" spans="1:42" x14ac:dyDescent="0.25">
      <c r="A5" s="501" t="s">
        <v>22</v>
      </c>
      <c r="B5" s="502">
        <v>30</v>
      </c>
      <c r="C5" s="503">
        <f>B5/'Anlage 1a'!D5*100</f>
        <v>55.555555555555557</v>
      </c>
      <c r="D5" s="502">
        <v>28</v>
      </c>
      <c r="E5" s="503">
        <f>D5/'Anlage 1a'!F5*100</f>
        <v>48.275862068965516</v>
      </c>
      <c r="F5" s="502">
        <v>21</v>
      </c>
      <c r="G5" s="503">
        <f>F5/'Anlage 1a'!H5*100</f>
        <v>40.384615384615387</v>
      </c>
      <c r="H5" s="502">
        <v>32</v>
      </c>
      <c r="I5" s="503">
        <f>H5/'Anlage 1a'!J5*100</f>
        <v>48.484848484848484</v>
      </c>
      <c r="J5" s="504">
        <f>SUM(B5,D5,F5,H5)</f>
        <v>111</v>
      </c>
      <c r="K5" s="505">
        <f>J5/'Anlage 1a'!L5*100</f>
        <v>48.260869565217391</v>
      </c>
      <c r="L5" s="502"/>
      <c r="M5" s="506"/>
      <c r="N5" s="502"/>
      <c r="O5" s="506"/>
      <c r="P5" s="502"/>
      <c r="Q5" s="506"/>
      <c r="R5" s="502"/>
      <c r="S5" s="506"/>
      <c r="T5" s="502"/>
      <c r="U5" s="506"/>
      <c r="V5" s="502"/>
      <c r="W5" s="507"/>
      <c r="X5" s="508"/>
      <c r="Y5" s="509"/>
      <c r="Z5" s="502"/>
      <c r="AA5" s="506"/>
      <c r="AB5" s="502"/>
      <c r="AC5" s="506"/>
      <c r="AD5" s="502"/>
      <c r="AE5" s="506"/>
      <c r="AF5" s="508"/>
      <c r="AG5" s="509"/>
      <c r="AH5" s="510">
        <f>SUM(J5,X5,AF5)</f>
        <v>111</v>
      </c>
      <c r="AI5" s="505">
        <f>AH5/'Anlage 1a'!AJ5*100</f>
        <v>48.260869565217391</v>
      </c>
    </row>
    <row r="6" spans="1:42" x14ac:dyDescent="0.25">
      <c r="A6" s="501" t="s">
        <v>23</v>
      </c>
      <c r="B6" s="502">
        <v>10</v>
      </c>
      <c r="C6" s="503">
        <f>B6/'Anlage 1a'!D6*100</f>
        <v>21.739130434782609</v>
      </c>
      <c r="D6" s="502">
        <v>13</v>
      </c>
      <c r="E6" s="503">
        <f>D6/'Anlage 1a'!F6*100</f>
        <v>22.033898305084744</v>
      </c>
      <c r="F6" s="502">
        <v>12</v>
      </c>
      <c r="G6" s="503">
        <f>F6/'Anlage 1a'!H6*100</f>
        <v>22.222222222222221</v>
      </c>
      <c r="H6" s="502">
        <v>16</v>
      </c>
      <c r="I6" s="503">
        <f>H6/'Anlage 1a'!J6*100</f>
        <v>28.571428571428569</v>
      </c>
      <c r="J6" s="504">
        <f t="shared" ref="J6:J20" si="0">SUM(B6,D6,F6,H6)</f>
        <v>51</v>
      </c>
      <c r="K6" s="505">
        <f>J6/'Anlage 1a'!L6*100</f>
        <v>23.720930232558139</v>
      </c>
      <c r="L6" s="502"/>
      <c r="M6" s="506"/>
      <c r="N6" s="502"/>
      <c r="O6" s="506"/>
      <c r="P6" s="502"/>
      <c r="Q6" s="506"/>
      <c r="R6" s="502"/>
      <c r="S6" s="506"/>
      <c r="T6" s="502"/>
      <c r="U6" s="506"/>
      <c r="V6" s="502"/>
      <c r="W6" s="507"/>
      <c r="X6" s="511"/>
      <c r="Y6" s="512"/>
      <c r="Z6" s="502"/>
      <c r="AA6" s="506"/>
      <c r="AB6" s="502"/>
      <c r="AC6" s="506"/>
      <c r="AD6" s="502"/>
      <c r="AE6" s="507"/>
      <c r="AF6" s="513"/>
      <c r="AG6" s="514"/>
      <c r="AH6" s="510">
        <f>SUM(J6,X6,AF6)</f>
        <v>51</v>
      </c>
      <c r="AI6" s="505">
        <f>AH6/'Anlage 1a'!AJ6*100</f>
        <v>23.720930232558139</v>
      </c>
    </row>
    <row r="7" spans="1:42" x14ac:dyDescent="0.25">
      <c r="A7" s="501" t="s">
        <v>24</v>
      </c>
      <c r="B7" s="502">
        <v>27</v>
      </c>
      <c r="C7" s="503">
        <f>B7/'Anlage 1a'!D7*100</f>
        <v>49.090909090909093</v>
      </c>
      <c r="D7" s="502">
        <v>33</v>
      </c>
      <c r="E7" s="503">
        <f>D7/'Anlage 1a'!F7*100</f>
        <v>56.896551724137936</v>
      </c>
      <c r="F7" s="502">
        <v>23</v>
      </c>
      <c r="G7" s="503">
        <f>F7/'Anlage 1a'!H7*100</f>
        <v>53.488372093023251</v>
      </c>
      <c r="H7" s="502">
        <v>30</v>
      </c>
      <c r="I7" s="503">
        <f>H7/'Anlage 1a'!J7*100</f>
        <v>48.387096774193552</v>
      </c>
      <c r="J7" s="504">
        <f t="shared" si="0"/>
        <v>113</v>
      </c>
      <c r="K7" s="505">
        <f>J7/'Anlage 1a'!L7*100</f>
        <v>51.834862385321102</v>
      </c>
      <c r="L7" s="502"/>
      <c r="M7" s="506"/>
      <c r="N7" s="502"/>
      <c r="O7" s="506"/>
      <c r="P7" s="502"/>
      <c r="Q7" s="506"/>
      <c r="R7" s="502"/>
      <c r="S7" s="506"/>
      <c r="T7" s="502"/>
      <c r="U7" s="506"/>
      <c r="V7" s="502"/>
      <c r="W7" s="507"/>
      <c r="X7" s="511"/>
      <c r="Y7" s="512"/>
      <c r="Z7" s="502"/>
      <c r="AA7" s="506"/>
      <c r="AB7" s="502"/>
      <c r="AC7" s="506"/>
      <c r="AD7" s="502"/>
      <c r="AE7" s="507"/>
      <c r="AF7" s="511"/>
      <c r="AG7" s="512"/>
      <c r="AH7" s="510">
        <f>SUM(J7,X7,AF7)</f>
        <v>113</v>
      </c>
      <c r="AI7" s="505">
        <f>AH7/'Anlage 1a'!AJ7*100</f>
        <v>51.834862385321102</v>
      </c>
    </row>
    <row r="8" spans="1:42" s="123" customFormat="1" x14ac:dyDescent="0.25">
      <c r="A8" s="501" t="s">
        <v>291</v>
      </c>
      <c r="B8" s="502">
        <v>31</v>
      </c>
      <c r="C8" s="503">
        <f>B8/'Anlage 1a'!D8*100</f>
        <v>91.17647058823529</v>
      </c>
      <c r="D8" s="502">
        <v>25</v>
      </c>
      <c r="E8" s="503">
        <f>D8/'Anlage 1a'!F8*100</f>
        <v>86.206896551724128</v>
      </c>
      <c r="F8" s="502">
        <v>31</v>
      </c>
      <c r="G8" s="503">
        <f>F8/'Anlage 1a'!H8*100</f>
        <v>65.957446808510639</v>
      </c>
      <c r="H8" s="502">
        <v>39</v>
      </c>
      <c r="I8" s="503">
        <f>H8/'Anlage 1a'!J8*100</f>
        <v>81.25</v>
      </c>
      <c r="J8" s="504">
        <f t="shared" si="0"/>
        <v>126</v>
      </c>
      <c r="K8" s="505">
        <f>J8/'Anlage 1a'!L8*100</f>
        <v>79.74683544303798</v>
      </c>
      <c r="L8" s="502"/>
      <c r="M8" s="506"/>
      <c r="N8" s="502"/>
      <c r="O8" s="506"/>
      <c r="P8" s="502"/>
      <c r="Q8" s="506"/>
      <c r="R8" s="502"/>
      <c r="S8" s="506"/>
      <c r="T8" s="502"/>
      <c r="U8" s="506"/>
      <c r="V8" s="502"/>
      <c r="W8" s="507"/>
      <c r="X8" s="511"/>
      <c r="Y8" s="512"/>
      <c r="Z8" s="502"/>
      <c r="AA8" s="506"/>
      <c r="AB8" s="502"/>
      <c r="AC8" s="506"/>
      <c r="AD8" s="502"/>
      <c r="AE8" s="507"/>
      <c r="AF8" s="511"/>
      <c r="AG8" s="512"/>
      <c r="AH8" s="510">
        <f>SUM(J8,X8,AF8)</f>
        <v>126</v>
      </c>
      <c r="AI8" s="505">
        <f>AH8/'Anlage 1a'!AJ8*100</f>
        <v>79.74683544303798</v>
      </c>
    </row>
    <row r="9" spans="1:42" s="123" customFormat="1" ht="20.100000000000001" customHeight="1" x14ac:dyDescent="0.25">
      <c r="A9" s="515" t="s">
        <v>25</v>
      </c>
      <c r="B9" s="516">
        <f>SUM(B5,B6,B7,B8)</f>
        <v>98</v>
      </c>
      <c r="C9" s="517">
        <f>B9/'Anlage 1a'!D9*100</f>
        <v>51.851851851851848</v>
      </c>
      <c r="D9" s="516">
        <f>SUM(D5,D6,D7,D8)</f>
        <v>99</v>
      </c>
      <c r="E9" s="517">
        <f>D9/'Anlage 1a'!F9*100</f>
        <v>48.529411764705884</v>
      </c>
      <c r="F9" s="516">
        <f>SUM(F5,F6,F7,F8)</f>
        <v>87</v>
      </c>
      <c r="G9" s="517">
        <f>F9/'Anlage 1a'!H9*100</f>
        <v>44.387755102040813</v>
      </c>
      <c r="H9" s="516">
        <f>SUM(H5,H6,H7,H8)</f>
        <v>117</v>
      </c>
      <c r="I9" s="517">
        <f>H9/'Anlage 1a'!J9*100</f>
        <v>50.431034482758619</v>
      </c>
      <c r="J9" s="518">
        <f>SUM(J5,J6,J7,J8)</f>
        <v>401</v>
      </c>
      <c r="K9" s="519">
        <f>J9/'Anlage 1a'!L9*100</f>
        <v>48.842874543239951</v>
      </c>
      <c r="L9" s="520"/>
      <c r="M9" s="521"/>
      <c r="N9" s="520"/>
      <c r="O9" s="521"/>
      <c r="P9" s="520"/>
      <c r="Q9" s="521"/>
      <c r="R9" s="520"/>
      <c r="S9" s="521"/>
      <c r="T9" s="520"/>
      <c r="U9" s="521"/>
      <c r="V9" s="520"/>
      <c r="W9" s="522"/>
      <c r="X9" s="523"/>
      <c r="Y9" s="524"/>
      <c r="Z9" s="520"/>
      <c r="AA9" s="521"/>
      <c r="AB9" s="520"/>
      <c r="AC9" s="521"/>
      <c r="AD9" s="520"/>
      <c r="AE9" s="522"/>
      <c r="AF9" s="523"/>
      <c r="AG9" s="524"/>
      <c r="AH9" s="516">
        <f>SUM(AH5,AH6,AH7,AH8)</f>
        <v>401</v>
      </c>
      <c r="AI9" s="519">
        <f>AH9/'Anlage 1a'!AJ9*100</f>
        <v>48.842874543239951</v>
      </c>
    </row>
    <row r="10" spans="1:42" hidden="1" x14ac:dyDescent="0.25">
      <c r="A10" s="734" t="s">
        <v>26</v>
      </c>
      <c r="B10" s="735"/>
      <c r="C10" s="736"/>
      <c r="D10" s="735"/>
      <c r="E10" s="736"/>
      <c r="F10" s="735"/>
      <c r="G10" s="736"/>
      <c r="H10" s="735"/>
      <c r="I10" s="736"/>
      <c r="J10" s="737"/>
      <c r="K10" s="738"/>
      <c r="L10" s="735"/>
      <c r="M10" s="736"/>
      <c r="N10" s="735"/>
      <c r="O10" s="736"/>
      <c r="P10" s="735"/>
      <c r="Q10" s="736"/>
      <c r="R10" s="735"/>
      <c r="S10" s="736"/>
      <c r="T10" s="735"/>
      <c r="U10" s="736"/>
      <c r="V10" s="735"/>
      <c r="W10" s="739"/>
      <c r="X10" s="737"/>
      <c r="Y10" s="738"/>
      <c r="Z10" s="735"/>
      <c r="AA10" s="736"/>
      <c r="AB10" s="735"/>
      <c r="AC10" s="736"/>
      <c r="AD10" s="735"/>
      <c r="AE10" s="739"/>
      <c r="AF10" s="737"/>
      <c r="AG10" s="738"/>
      <c r="AH10" s="735"/>
      <c r="AI10" s="738"/>
    </row>
    <row r="11" spans="1:42" x14ac:dyDescent="0.25">
      <c r="A11" s="501" t="s">
        <v>27</v>
      </c>
      <c r="B11" s="502">
        <v>52</v>
      </c>
      <c r="C11" s="503">
        <f>B11/'Anlage 1a'!D11*100</f>
        <v>76.470588235294116</v>
      </c>
      <c r="D11" s="502">
        <v>50</v>
      </c>
      <c r="E11" s="503">
        <f>D11/'Anlage 1a'!F11*100</f>
        <v>56.81818181818182</v>
      </c>
      <c r="F11" s="502">
        <v>39</v>
      </c>
      <c r="G11" s="503">
        <f>F11/'Anlage 1a'!H11*100</f>
        <v>58.208955223880601</v>
      </c>
      <c r="H11" s="502">
        <v>45</v>
      </c>
      <c r="I11" s="503">
        <f>H11/'Anlage 1a'!J11*100</f>
        <v>59.210526315789465</v>
      </c>
      <c r="J11" s="504">
        <f t="shared" si="0"/>
        <v>186</v>
      </c>
      <c r="K11" s="505">
        <f>J11/'Anlage 1a'!L11*100</f>
        <v>62.207357859531776</v>
      </c>
      <c r="L11" s="502"/>
      <c r="M11" s="506"/>
      <c r="N11" s="502"/>
      <c r="O11" s="506"/>
      <c r="P11" s="502"/>
      <c r="Q11" s="506"/>
      <c r="R11" s="502"/>
      <c r="S11" s="506"/>
      <c r="T11" s="502"/>
      <c r="U11" s="506"/>
      <c r="V11" s="502"/>
      <c r="W11" s="507"/>
      <c r="X11" s="511"/>
      <c r="Y11" s="512"/>
      <c r="Z11" s="502"/>
      <c r="AA11" s="506"/>
      <c r="AB11" s="502"/>
      <c r="AC11" s="506"/>
      <c r="AD11" s="502"/>
      <c r="AE11" s="507"/>
      <c r="AF11" s="511"/>
      <c r="AG11" s="512"/>
      <c r="AH11" s="510">
        <f>SUM(J11,X11,AF11)</f>
        <v>186</v>
      </c>
      <c r="AI11" s="505">
        <f>AH11/'Anlage 1a'!AJ11*100</f>
        <v>62.207357859531776</v>
      </c>
    </row>
    <row r="12" spans="1:42" x14ac:dyDescent="0.25">
      <c r="A12" s="501" t="s">
        <v>28</v>
      </c>
      <c r="B12" s="502">
        <v>16</v>
      </c>
      <c r="C12" s="503">
        <f>B12/'Anlage 1a'!D12*100</f>
        <v>41.025641025641022</v>
      </c>
      <c r="D12" s="502">
        <v>18</v>
      </c>
      <c r="E12" s="503">
        <f>D12/'Anlage 1a'!F12*100</f>
        <v>36</v>
      </c>
      <c r="F12" s="502">
        <v>16</v>
      </c>
      <c r="G12" s="503">
        <f>F12/'Anlage 1a'!H12*100</f>
        <v>34.782608695652172</v>
      </c>
      <c r="H12" s="502">
        <v>21</v>
      </c>
      <c r="I12" s="503">
        <f>H12/'Anlage 1a'!J12*100</f>
        <v>50</v>
      </c>
      <c r="J12" s="504">
        <f t="shared" si="0"/>
        <v>71</v>
      </c>
      <c r="K12" s="505">
        <f>J12/'Anlage 1a'!L12*100</f>
        <v>40.112994350282491</v>
      </c>
      <c r="L12" s="502"/>
      <c r="M12" s="506"/>
      <c r="N12" s="502"/>
      <c r="O12" s="506"/>
      <c r="P12" s="502"/>
      <c r="Q12" s="506"/>
      <c r="R12" s="502"/>
      <c r="S12" s="506"/>
      <c r="T12" s="502"/>
      <c r="U12" s="506"/>
      <c r="V12" s="502"/>
      <c r="W12" s="507"/>
      <c r="X12" s="511"/>
      <c r="Y12" s="512"/>
      <c r="Z12" s="502"/>
      <c r="AA12" s="506"/>
      <c r="AB12" s="502"/>
      <c r="AC12" s="506"/>
      <c r="AD12" s="502"/>
      <c r="AE12" s="507"/>
      <c r="AF12" s="511"/>
      <c r="AG12" s="512"/>
      <c r="AH12" s="510">
        <f>SUM(J12,X12,AF12)</f>
        <v>71</v>
      </c>
      <c r="AI12" s="505">
        <f>AH12/'Anlage 1a'!AJ12*100</f>
        <v>40.112994350282491</v>
      </c>
    </row>
    <row r="13" spans="1:42" x14ac:dyDescent="0.25">
      <c r="A13" s="501" t="s">
        <v>29</v>
      </c>
      <c r="B13" s="502">
        <v>1</v>
      </c>
      <c r="C13" s="503">
        <f>B13/'Anlage 1a'!D13*100</f>
        <v>1.4285714285714286</v>
      </c>
      <c r="D13" s="502">
        <v>10</v>
      </c>
      <c r="E13" s="503">
        <f>D13/'Anlage 1a'!F13*100</f>
        <v>12.5</v>
      </c>
      <c r="F13" s="502">
        <v>8</v>
      </c>
      <c r="G13" s="503">
        <f>F13/'Anlage 1a'!H13*100</f>
        <v>9.7560975609756095</v>
      </c>
      <c r="H13" s="502">
        <v>15</v>
      </c>
      <c r="I13" s="503">
        <f>H13/'Anlage 1a'!J13*100</f>
        <v>19.230769230769234</v>
      </c>
      <c r="J13" s="504">
        <f t="shared" si="0"/>
        <v>34</v>
      </c>
      <c r="K13" s="505">
        <f>J13/'Anlage 1a'!L13*100</f>
        <v>10.967741935483872</v>
      </c>
      <c r="L13" s="502"/>
      <c r="M13" s="506"/>
      <c r="N13" s="502"/>
      <c r="O13" s="506"/>
      <c r="P13" s="502"/>
      <c r="Q13" s="506"/>
      <c r="R13" s="502"/>
      <c r="S13" s="506"/>
      <c r="T13" s="502"/>
      <c r="U13" s="506"/>
      <c r="V13" s="502"/>
      <c r="W13" s="507"/>
      <c r="X13" s="511"/>
      <c r="Y13" s="512"/>
      <c r="Z13" s="502"/>
      <c r="AA13" s="506"/>
      <c r="AB13" s="502"/>
      <c r="AC13" s="506"/>
      <c r="AD13" s="502"/>
      <c r="AE13" s="507"/>
      <c r="AF13" s="511"/>
      <c r="AG13" s="512"/>
      <c r="AH13" s="510">
        <f>SUM(J13,X13,AF13)</f>
        <v>34</v>
      </c>
      <c r="AI13" s="505">
        <f>AH13/'Anlage 1a'!AJ13*100</f>
        <v>10.967741935483872</v>
      </c>
    </row>
    <row r="14" spans="1:42" x14ac:dyDescent="0.25">
      <c r="A14" s="501" t="s">
        <v>58</v>
      </c>
      <c r="B14" s="502">
        <v>22</v>
      </c>
      <c r="C14" s="503">
        <f>B14/'Anlage 1a'!D14*100</f>
        <v>27.500000000000004</v>
      </c>
      <c r="D14" s="502">
        <v>15</v>
      </c>
      <c r="E14" s="503">
        <f>D14/'Anlage 1a'!F14*100</f>
        <v>25</v>
      </c>
      <c r="F14" s="502">
        <v>14</v>
      </c>
      <c r="G14" s="503">
        <f>F14/'Anlage 1a'!H14*100</f>
        <v>19.718309859154928</v>
      </c>
      <c r="H14" s="502">
        <v>15</v>
      </c>
      <c r="I14" s="503">
        <f>H14/'Anlage 1a'!J14*100</f>
        <v>26.785714285714285</v>
      </c>
      <c r="J14" s="504">
        <f t="shared" si="0"/>
        <v>66</v>
      </c>
      <c r="K14" s="505">
        <f>J14/'Anlage 1a'!L14*100</f>
        <v>24.719101123595504</v>
      </c>
      <c r="L14" s="502"/>
      <c r="M14" s="506"/>
      <c r="N14" s="502"/>
      <c r="O14" s="506"/>
      <c r="P14" s="502"/>
      <c r="Q14" s="506"/>
      <c r="R14" s="502"/>
      <c r="S14" s="506"/>
      <c r="T14" s="502"/>
      <c r="U14" s="506"/>
      <c r="V14" s="502"/>
      <c r="W14" s="507"/>
      <c r="X14" s="511"/>
      <c r="Y14" s="512"/>
      <c r="Z14" s="502"/>
      <c r="AA14" s="506"/>
      <c r="AB14" s="502"/>
      <c r="AC14" s="506"/>
      <c r="AD14" s="502"/>
      <c r="AE14" s="507"/>
      <c r="AF14" s="511"/>
      <c r="AG14" s="512"/>
      <c r="AH14" s="510">
        <f>SUM(J14,X14,AF14)</f>
        <v>66</v>
      </c>
      <c r="AI14" s="505">
        <f>AH14/'Anlage 1a'!AJ14*100</f>
        <v>24.719101123595504</v>
      </c>
    </row>
    <row r="15" spans="1:42" s="123" customFormat="1" x14ac:dyDescent="0.25">
      <c r="A15" s="501" t="s">
        <v>292</v>
      </c>
      <c r="B15" s="502">
        <v>29</v>
      </c>
      <c r="C15" s="503">
        <f>B15/'Anlage 1a'!D15*100</f>
        <v>36.25</v>
      </c>
      <c r="D15" s="502">
        <v>29</v>
      </c>
      <c r="E15" s="503">
        <f>D15/'Anlage 1a'!F15*100</f>
        <v>34.117647058823529</v>
      </c>
      <c r="F15" s="502">
        <v>32</v>
      </c>
      <c r="G15" s="503">
        <f>F15/'Anlage 1a'!H15*100</f>
        <v>43.243243243243242</v>
      </c>
      <c r="H15" s="502">
        <v>27</v>
      </c>
      <c r="I15" s="503">
        <f>H15/'Anlage 1a'!J15*100</f>
        <v>36.486486486486484</v>
      </c>
      <c r="J15" s="504">
        <f t="shared" si="0"/>
        <v>117</v>
      </c>
      <c r="K15" s="505">
        <f>J15/'Anlage 1a'!L15*100</f>
        <v>37.38019169329074</v>
      </c>
      <c r="L15" s="502"/>
      <c r="M15" s="506"/>
      <c r="N15" s="502"/>
      <c r="O15" s="506"/>
      <c r="P15" s="502"/>
      <c r="Q15" s="506"/>
      <c r="R15" s="502"/>
      <c r="S15" s="506"/>
      <c r="T15" s="502"/>
      <c r="U15" s="506"/>
      <c r="V15" s="502"/>
      <c r="W15" s="507"/>
      <c r="X15" s="511"/>
      <c r="Y15" s="512"/>
      <c r="Z15" s="502"/>
      <c r="AA15" s="506"/>
      <c r="AB15" s="502"/>
      <c r="AC15" s="506"/>
      <c r="AD15" s="502"/>
      <c r="AE15" s="507"/>
      <c r="AF15" s="511"/>
      <c r="AG15" s="512"/>
      <c r="AH15" s="510">
        <f>SUM(J15,X15,AF15)</f>
        <v>117</v>
      </c>
      <c r="AI15" s="505">
        <f>AH15/'Anlage 1a'!AJ15*100</f>
        <v>37.38019169329074</v>
      </c>
    </row>
    <row r="16" spans="1:42" s="123" customFormat="1" ht="20.100000000000001" customHeight="1" x14ac:dyDescent="0.25">
      <c r="A16" s="515" t="s">
        <v>30</v>
      </c>
      <c r="B16" s="516">
        <f>SUM(B10,B11:B15)</f>
        <v>120</v>
      </c>
      <c r="C16" s="517">
        <f>B16/'Anlage 1a'!D16*100</f>
        <v>35.60830860534125</v>
      </c>
      <c r="D16" s="516">
        <f>SUM(D10,D11:D15)</f>
        <v>122</v>
      </c>
      <c r="E16" s="517">
        <f>D16/'Anlage 1a'!F16*100</f>
        <v>33.608815426997246</v>
      </c>
      <c r="F16" s="516">
        <f>SUM(F10,F11:F15)</f>
        <v>109</v>
      </c>
      <c r="G16" s="517">
        <f>F16/'Anlage 1a'!H16*100</f>
        <v>32.058823529411768</v>
      </c>
      <c r="H16" s="516">
        <f>SUM(H10,H11:H15)</f>
        <v>123</v>
      </c>
      <c r="I16" s="517">
        <f>H16/'Anlage 1a'!J16*100</f>
        <v>37.730061349693251</v>
      </c>
      <c r="J16" s="518">
        <f>SUM(J10,J11:J15)</f>
        <v>474</v>
      </c>
      <c r="K16" s="519">
        <f>J16/'Anlage 1a'!L16*100</f>
        <v>34.699853587115662</v>
      </c>
      <c r="L16" s="520"/>
      <c r="M16" s="521"/>
      <c r="N16" s="520"/>
      <c r="O16" s="521"/>
      <c r="P16" s="520"/>
      <c r="Q16" s="521"/>
      <c r="R16" s="520"/>
      <c r="S16" s="521"/>
      <c r="T16" s="520"/>
      <c r="U16" s="521"/>
      <c r="V16" s="520"/>
      <c r="W16" s="522"/>
      <c r="X16" s="523"/>
      <c r="Y16" s="524"/>
      <c r="Z16" s="520"/>
      <c r="AA16" s="521"/>
      <c r="AB16" s="520"/>
      <c r="AC16" s="521"/>
      <c r="AD16" s="520"/>
      <c r="AE16" s="522"/>
      <c r="AF16" s="523"/>
      <c r="AG16" s="524"/>
      <c r="AH16" s="516">
        <f>SUM(AH10,AH11:AH15)</f>
        <v>474</v>
      </c>
      <c r="AI16" s="519">
        <f>AH16/'Anlage 1a'!AJ16*100</f>
        <v>34.699853587115662</v>
      </c>
    </row>
    <row r="17" spans="1:35" x14ac:dyDescent="0.25">
      <c r="A17" s="501" t="s">
        <v>317</v>
      </c>
      <c r="B17" s="502">
        <v>11</v>
      </c>
      <c r="C17" s="503">
        <f>B17/'Anlage 1a'!D17*100</f>
        <v>61.111111111111114</v>
      </c>
      <c r="D17" s="502">
        <v>16</v>
      </c>
      <c r="E17" s="503">
        <f>D17/'Anlage 1a'!F17*100</f>
        <v>72.727272727272734</v>
      </c>
      <c r="F17" s="502">
        <v>25</v>
      </c>
      <c r="G17" s="503">
        <f>F17/'Anlage 1a'!H17*100</f>
        <v>69.444444444444443</v>
      </c>
      <c r="H17" s="502">
        <v>11</v>
      </c>
      <c r="I17" s="503">
        <f>H17/'Anlage 1a'!J17*100</f>
        <v>64.705882352941174</v>
      </c>
      <c r="J17" s="504">
        <f t="shared" si="0"/>
        <v>63</v>
      </c>
      <c r="K17" s="505">
        <f>J17/'Anlage 1a'!L17*100</f>
        <v>67.741935483870961</v>
      </c>
      <c r="L17" s="502"/>
      <c r="M17" s="506"/>
      <c r="N17" s="502"/>
      <c r="O17" s="506"/>
      <c r="P17" s="502"/>
      <c r="Q17" s="506"/>
      <c r="R17" s="502"/>
      <c r="S17" s="506"/>
      <c r="T17" s="502"/>
      <c r="U17" s="506"/>
      <c r="V17" s="502"/>
      <c r="W17" s="507"/>
      <c r="X17" s="511"/>
      <c r="Y17" s="512"/>
      <c r="Z17" s="502"/>
      <c r="AA17" s="506"/>
      <c r="AB17" s="502"/>
      <c r="AC17" s="506"/>
      <c r="AD17" s="502"/>
      <c r="AE17" s="507"/>
      <c r="AF17" s="511"/>
      <c r="AG17" s="512"/>
      <c r="AH17" s="510">
        <f>SUM(J17,X17,AF17)</f>
        <v>63</v>
      </c>
      <c r="AI17" s="505">
        <f>AH17/'Anlage 1a'!AJ17*100</f>
        <v>67.741935483870961</v>
      </c>
    </row>
    <row r="18" spans="1:35" x14ac:dyDescent="0.25">
      <c r="A18" s="501" t="s">
        <v>316</v>
      </c>
      <c r="B18" s="502">
        <v>17</v>
      </c>
      <c r="C18" s="503">
        <f>B18/'Anlage 1a'!D18*100</f>
        <v>47.222222222222221</v>
      </c>
      <c r="D18" s="502">
        <v>14</v>
      </c>
      <c r="E18" s="503">
        <f>D18/'Anlage 1a'!F18*100</f>
        <v>31.818181818181817</v>
      </c>
      <c r="F18" s="502">
        <v>27</v>
      </c>
      <c r="G18" s="503">
        <f>F18/'Anlage 1a'!H18*100</f>
        <v>58.695652173913047</v>
      </c>
      <c r="H18" s="502">
        <v>11</v>
      </c>
      <c r="I18" s="503">
        <f>H18/'Anlage 1a'!J18*100</f>
        <v>27.500000000000004</v>
      </c>
      <c r="J18" s="504">
        <f t="shared" si="0"/>
        <v>69</v>
      </c>
      <c r="K18" s="505">
        <f>J18/'Anlage 1a'!L18*100</f>
        <v>41.566265060240966</v>
      </c>
      <c r="L18" s="502"/>
      <c r="M18" s="506"/>
      <c r="N18" s="502"/>
      <c r="O18" s="506"/>
      <c r="P18" s="502"/>
      <c r="Q18" s="506"/>
      <c r="R18" s="502"/>
      <c r="S18" s="506"/>
      <c r="T18" s="502"/>
      <c r="U18" s="506"/>
      <c r="V18" s="502"/>
      <c r="W18" s="507"/>
      <c r="X18" s="511"/>
      <c r="Y18" s="512"/>
      <c r="Z18" s="502"/>
      <c r="AA18" s="506"/>
      <c r="AB18" s="502"/>
      <c r="AC18" s="506"/>
      <c r="AD18" s="502"/>
      <c r="AE18" s="507"/>
      <c r="AF18" s="511"/>
      <c r="AG18" s="512"/>
      <c r="AH18" s="510">
        <f>SUM(J18,X18,AF18)</f>
        <v>69</v>
      </c>
      <c r="AI18" s="505">
        <f>AH18/'Anlage 1a'!AJ18*100</f>
        <v>41.566265060240966</v>
      </c>
    </row>
    <row r="19" spans="1:35" x14ac:dyDescent="0.25">
      <c r="A19" s="501" t="s">
        <v>289</v>
      </c>
      <c r="B19" s="502">
        <v>14</v>
      </c>
      <c r="C19" s="503">
        <f>B19/'Anlage 1a'!D19*100</f>
        <v>29.787234042553191</v>
      </c>
      <c r="D19" s="502">
        <v>16</v>
      </c>
      <c r="E19" s="503">
        <f>D19/'Anlage 1a'!F19*100</f>
        <v>28.571428571428569</v>
      </c>
      <c r="F19" s="502">
        <v>18</v>
      </c>
      <c r="G19" s="503">
        <f>F19/'Anlage 1a'!H19*100</f>
        <v>40</v>
      </c>
      <c r="H19" s="502">
        <v>18</v>
      </c>
      <c r="I19" s="503">
        <f>H19/'Anlage 1a'!J19*100</f>
        <v>39.130434782608695</v>
      </c>
      <c r="J19" s="504">
        <f t="shared" si="0"/>
        <v>66</v>
      </c>
      <c r="K19" s="505">
        <f>J19/'Anlage 1a'!L19*100</f>
        <v>34.020618556701031</v>
      </c>
      <c r="L19" s="502"/>
      <c r="M19" s="506"/>
      <c r="N19" s="502"/>
      <c r="O19" s="506"/>
      <c r="P19" s="502"/>
      <c r="Q19" s="506"/>
      <c r="R19" s="502"/>
      <c r="S19" s="506"/>
      <c r="T19" s="502"/>
      <c r="U19" s="506"/>
      <c r="V19" s="502"/>
      <c r="W19" s="507"/>
      <c r="X19" s="511"/>
      <c r="Y19" s="512"/>
      <c r="Z19" s="502"/>
      <c r="AA19" s="506"/>
      <c r="AB19" s="502"/>
      <c r="AC19" s="506"/>
      <c r="AD19" s="502"/>
      <c r="AE19" s="507"/>
      <c r="AF19" s="511"/>
      <c r="AG19" s="512"/>
      <c r="AH19" s="510">
        <f>SUM(J19,X19,AF19)</f>
        <v>66</v>
      </c>
      <c r="AI19" s="505">
        <f>AH19/'Anlage 1a'!AJ19*100</f>
        <v>34.020618556701031</v>
      </c>
    </row>
    <row r="20" spans="1:35" x14ac:dyDescent="0.25">
      <c r="A20" s="501" t="s">
        <v>290</v>
      </c>
      <c r="B20" s="502">
        <v>6</v>
      </c>
      <c r="C20" s="503">
        <f>B20/'Anlage 1a'!D20*100</f>
        <v>24</v>
      </c>
      <c r="D20" s="502">
        <v>11</v>
      </c>
      <c r="E20" s="503">
        <f>D20/'Anlage 1a'!F20*100</f>
        <v>45.833333333333329</v>
      </c>
      <c r="F20" s="502">
        <v>12</v>
      </c>
      <c r="G20" s="503">
        <f>F20/'Anlage 1a'!H20*100</f>
        <v>50</v>
      </c>
      <c r="H20" s="502">
        <v>10</v>
      </c>
      <c r="I20" s="503">
        <f>H20/'Anlage 1a'!J20*100</f>
        <v>40</v>
      </c>
      <c r="J20" s="504">
        <f t="shared" si="0"/>
        <v>39</v>
      </c>
      <c r="K20" s="505">
        <f>J20/'Anlage 1a'!L20*100</f>
        <v>39.795918367346935</v>
      </c>
      <c r="L20" s="502"/>
      <c r="M20" s="506"/>
      <c r="N20" s="502"/>
      <c r="O20" s="506"/>
      <c r="P20" s="502"/>
      <c r="Q20" s="506"/>
      <c r="R20" s="502"/>
      <c r="S20" s="506"/>
      <c r="T20" s="502"/>
      <c r="U20" s="506"/>
      <c r="V20" s="502"/>
      <c r="W20" s="507"/>
      <c r="X20" s="511"/>
      <c r="Y20" s="512"/>
      <c r="Z20" s="502"/>
      <c r="AA20" s="506"/>
      <c r="AB20" s="502"/>
      <c r="AC20" s="506"/>
      <c r="AD20" s="502"/>
      <c r="AE20" s="507"/>
      <c r="AF20" s="511"/>
      <c r="AG20" s="512"/>
      <c r="AH20" s="510">
        <f>SUM(J20,X20,AF20)</f>
        <v>39</v>
      </c>
      <c r="AI20" s="505">
        <f>AH20/'Anlage 1a'!AJ20*100</f>
        <v>39.795918367346935</v>
      </c>
    </row>
    <row r="21" spans="1:35" s="123" customFormat="1" x14ac:dyDescent="0.25">
      <c r="A21" s="501" t="s">
        <v>51</v>
      </c>
      <c r="B21" s="502">
        <v>11</v>
      </c>
      <c r="C21" s="503">
        <f>B21/'Anlage 1a'!D21*100</f>
        <v>16.417910447761194</v>
      </c>
      <c r="D21" s="502">
        <v>13</v>
      </c>
      <c r="E21" s="503">
        <f>D21/'Anlage 1a'!F21*100</f>
        <v>18.055555555555554</v>
      </c>
      <c r="F21" s="502">
        <v>14</v>
      </c>
      <c r="G21" s="503">
        <f>F21/'Anlage 1a'!H21*100</f>
        <v>21.53846153846154</v>
      </c>
      <c r="H21" s="502">
        <v>18</v>
      </c>
      <c r="I21" s="503">
        <f>H21/'Anlage 1a'!J21*100</f>
        <v>28.125</v>
      </c>
      <c r="J21" s="504">
        <f>SUM(B21,D21,F21,H21)</f>
        <v>56</v>
      </c>
      <c r="K21" s="505">
        <f>J21/'Anlage 1a'!L21*100</f>
        <v>20.8955223880597</v>
      </c>
      <c r="L21" s="502"/>
      <c r="M21" s="506"/>
      <c r="N21" s="502"/>
      <c r="O21" s="506"/>
      <c r="P21" s="502"/>
      <c r="Q21" s="506"/>
      <c r="R21" s="502"/>
      <c r="S21" s="506"/>
      <c r="T21" s="502"/>
      <c r="U21" s="506"/>
      <c r="V21" s="502"/>
      <c r="W21" s="507"/>
      <c r="X21" s="511"/>
      <c r="Y21" s="512"/>
      <c r="Z21" s="502"/>
      <c r="AA21" s="506"/>
      <c r="AB21" s="502"/>
      <c r="AC21" s="506"/>
      <c r="AD21" s="502"/>
      <c r="AE21" s="507"/>
      <c r="AF21" s="511"/>
      <c r="AG21" s="512"/>
      <c r="AH21" s="510">
        <f>SUM(J21,X21,AF21)</f>
        <v>56</v>
      </c>
      <c r="AI21" s="505">
        <f>AH21/'Anlage 1a'!AJ21*100</f>
        <v>20.8955223880597</v>
      </c>
    </row>
    <row r="22" spans="1:35" s="123" customFormat="1" ht="20.100000000000001" customHeight="1" x14ac:dyDescent="0.25">
      <c r="A22" s="515" t="s">
        <v>31</v>
      </c>
      <c r="B22" s="516">
        <f>SUM(B17,B18:B21)</f>
        <v>59</v>
      </c>
      <c r="C22" s="517">
        <f>B22/'Anlage 1a'!D22*100</f>
        <v>30.569948186528496</v>
      </c>
      <c r="D22" s="516">
        <f>SUM(D17,D18:D21)</f>
        <v>70</v>
      </c>
      <c r="E22" s="517">
        <f>D22/'Anlage 1a'!F22*100</f>
        <v>32.11009174311927</v>
      </c>
      <c r="F22" s="516">
        <f>SUM(F17,F18:F21)</f>
        <v>96</v>
      </c>
      <c r="G22" s="517">
        <f>F22/'Anlage 1a'!H22*100</f>
        <v>44.444444444444443</v>
      </c>
      <c r="H22" s="516">
        <f>SUM(H17,H18:H21)</f>
        <v>68</v>
      </c>
      <c r="I22" s="517">
        <f>H22/'Anlage 1a'!J22*100</f>
        <v>35.416666666666671</v>
      </c>
      <c r="J22" s="518">
        <f>SUM(J17,J18:J21)</f>
        <v>293</v>
      </c>
      <c r="K22" s="519">
        <f>J22/'Anlage 1a'!L22*100</f>
        <v>35.775335775335776</v>
      </c>
      <c r="L22" s="520"/>
      <c r="M22" s="521"/>
      <c r="N22" s="520"/>
      <c r="O22" s="521"/>
      <c r="P22" s="520"/>
      <c r="Q22" s="521"/>
      <c r="R22" s="520" t="s">
        <v>53</v>
      </c>
      <c r="S22" s="521"/>
      <c r="T22" s="520"/>
      <c r="U22" s="521"/>
      <c r="V22" s="520"/>
      <c r="W22" s="522"/>
      <c r="X22" s="523"/>
      <c r="Y22" s="524"/>
      <c r="Z22" s="520"/>
      <c r="AA22" s="521"/>
      <c r="AB22" s="520"/>
      <c r="AC22" s="521"/>
      <c r="AD22" s="520"/>
      <c r="AE22" s="522"/>
      <c r="AF22" s="523"/>
      <c r="AG22" s="524"/>
      <c r="AH22" s="516">
        <f>SUM(AH17,AH18:AH21)</f>
        <v>293</v>
      </c>
      <c r="AI22" s="519">
        <f>AH22/'Anlage 1a'!AJ22*100</f>
        <v>35.775335775335776</v>
      </c>
    </row>
    <row r="23" spans="1:35" x14ac:dyDescent="0.25">
      <c r="A23" s="501" t="s">
        <v>32</v>
      </c>
      <c r="B23" s="502">
        <v>8</v>
      </c>
      <c r="C23" s="503">
        <f>B23/'Anlage 1a'!D23*100</f>
        <v>9.5238095238095237</v>
      </c>
      <c r="D23" s="502">
        <v>15</v>
      </c>
      <c r="E23" s="503">
        <f>D23/'Anlage 1a'!F23*100</f>
        <v>15.789473684210526</v>
      </c>
      <c r="F23" s="502">
        <v>12</v>
      </c>
      <c r="G23" s="503">
        <f>F23/'Anlage 1a'!H23*100</f>
        <v>15.384615384615385</v>
      </c>
      <c r="H23" s="502">
        <v>11</v>
      </c>
      <c r="I23" s="503">
        <f>H23/'Anlage 1a'!J23*100</f>
        <v>13.414634146341465</v>
      </c>
      <c r="J23" s="504">
        <f>SUM(B23,D23,F23,H23)</f>
        <v>46</v>
      </c>
      <c r="K23" s="505">
        <f>J23/'Anlage 1a'!L23*100</f>
        <v>13.569321533923304</v>
      </c>
      <c r="L23" s="502"/>
      <c r="M23" s="506"/>
      <c r="N23" s="502"/>
      <c r="O23" s="506"/>
      <c r="P23" s="502"/>
      <c r="Q23" s="506"/>
      <c r="R23" s="502"/>
      <c r="S23" s="506"/>
      <c r="T23" s="502"/>
      <c r="U23" s="506"/>
      <c r="V23" s="502"/>
      <c r="W23" s="507"/>
      <c r="X23" s="511"/>
      <c r="Y23" s="512"/>
      <c r="Z23" s="502"/>
      <c r="AA23" s="506"/>
      <c r="AB23" s="502"/>
      <c r="AC23" s="506"/>
      <c r="AD23" s="502"/>
      <c r="AE23" s="507"/>
      <c r="AF23" s="511"/>
      <c r="AG23" s="512"/>
      <c r="AH23" s="510">
        <f>SUM(J23,X23,AF23)</f>
        <v>46</v>
      </c>
      <c r="AI23" s="505">
        <f>AH23/'Anlage 1a'!AJ23*100</f>
        <v>13.569321533923304</v>
      </c>
    </row>
    <row r="24" spans="1:35" s="123" customFormat="1" ht="14.25" thickBot="1" x14ac:dyDescent="0.3">
      <c r="A24" s="501" t="s">
        <v>33</v>
      </c>
      <c r="B24" s="502">
        <v>0</v>
      </c>
      <c r="C24" s="503">
        <f>B24/'Anlage 1a'!D24*100</f>
        <v>0</v>
      </c>
      <c r="D24" s="502">
        <v>5</v>
      </c>
      <c r="E24" s="503">
        <f>D24/'Anlage 1a'!H24*100</f>
        <v>9.6153846153846168</v>
      </c>
      <c r="F24" s="502">
        <v>6</v>
      </c>
      <c r="G24" s="503">
        <f>F24/'Anlage 1a'!H24*100</f>
        <v>11.538461538461538</v>
      </c>
      <c r="H24" s="502">
        <v>4</v>
      </c>
      <c r="I24" s="503">
        <f>H24/'Anlage 1a'!J24*100</f>
        <v>8</v>
      </c>
      <c r="J24" s="504">
        <f>SUM(B24,D24,F24,H24)</f>
        <v>15</v>
      </c>
      <c r="K24" s="505">
        <f>J24/'Anlage 1a'!L24*100</f>
        <v>7.8534031413612562</v>
      </c>
      <c r="L24" s="511"/>
      <c r="M24" s="506"/>
      <c r="N24" s="502"/>
      <c r="O24" s="506"/>
      <c r="P24" s="502"/>
      <c r="Q24" s="506"/>
      <c r="R24" s="502"/>
      <c r="S24" s="506"/>
      <c r="T24" s="502"/>
      <c r="U24" s="506"/>
      <c r="V24" s="502"/>
      <c r="W24" s="507"/>
      <c r="X24" s="511"/>
      <c r="Y24" s="512"/>
      <c r="Z24" s="511"/>
      <c r="AA24" s="506"/>
      <c r="AB24" s="502"/>
      <c r="AC24" s="506"/>
      <c r="AD24" s="502"/>
      <c r="AE24" s="507"/>
      <c r="AF24" s="511"/>
      <c r="AG24" s="512"/>
      <c r="AH24" s="525">
        <f>SUM(J24,X24,AF24)</f>
        <v>15</v>
      </c>
      <c r="AI24" s="526">
        <f>AH24/'Anlage 1a'!AJ24*100</f>
        <v>7.8534031413612562</v>
      </c>
    </row>
    <row r="25" spans="1:35" s="123" customFormat="1" ht="20.100000000000001" customHeight="1" thickBot="1" x14ac:dyDescent="0.3">
      <c r="A25" s="515" t="s">
        <v>34</v>
      </c>
      <c r="B25" s="516">
        <f>SUM(B23,B24:B24)</f>
        <v>8</v>
      </c>
      <c r="C25" s="517">
        <f>B25/'Anlage 1a'!D25*100</f>
        <v>6.6115702479338845</v>
      </c>
      <c r="D25" s="516">
        <f>SUM(D23,D24)</f>
        <v>20</v>
      </c>
      <c r="E25" s="516">
        <f t="shared" ref="E25:AI25" si="1">SUM(E23,E24)</f>
        <v>25.404858299595141</v>
      </c>
      <c r="F25" s="516">
        <f t="shared" si="1"/>
        <v>18</v>
      </c>
      <c r="G25" s="516">
        <f t="shared" si="1"/>
        <v>26.923076923076923</v>
      </c>
      <c r="H25" s="516">
        <f t="shared" si="1"/>
        <v>15</v>
      </c>
      <c r="I25" s="516">
        <f t="shared" si="1"/>
        <v>21.414634146341463</v>
      </c>
      <c r="J25" s="516">
        <f t="shared" si="1"/>
        <v>61</v>
      </c>
      <c r="K25" s="527">
        <f t="shared" si="1"/>
        <v>21.422724675284559</v>
      </c>
      <c r="L25" s="528">
        <f t="shared" si="1"/>
        <v>0</v>
      </c>
      <c r="M25" s="529">
        <f t="shared" si="1"/>
        <v>0</v>
      </c>
      <c r="N25" s="530">
        <f t="shared" si="1"/>
        <v>0</v>
      </c>
      <c r="O25" s="531">
        <f t="shared" si="1"/>
        <v>0</v>
      </c>
      <c r="P25" s="531">
        <f t="shared" si="1"/>
        <v>0</v>
      </c>
      <c r="Q25" s="531">
        <f t="shared" si="1"/>
        <v>0</v>
      </c>
      <c r="R25" s="531">
        <f t="shared" si="1"/>
        <v>0</v>
      </c>
      <c r="S25" s="531">
        <f t="shared" si="1"/>
        <v>0</v>
      </c>
      <c r="T25" s="531">
        <f t="shared" si="1"/>
        <v>0</v>
      </c>
      <c r="U25" s="531">
        <f t="shared" si="1"/>
        <v>0</v>
      </c>
      <c r="V25" s="531">
        <f t="shared" si="1"/>
        <v>0</v>
      </c>
      <c r="W25" s="532">
        <f t="shared" si="1"/>
        <v>0</v>
      </c>
      <c r="X25" s="533">
        <f t="shared" si="1"/>
        <v>0</v>
      </c>
      <c r="Y25" s="534">
        <f t="shared" si="1"/>
        <v>0</v>
      </c>
      <c r="Z25" s="528">
        <f t="shared" si="1"/>
        <v>0</v>
      </c>
      <c r="AA25" s="529">
        <f t="shared" si="1"/>
        <v>0</v>
      </c>
      <c r="AB25" s="531">
        <f t="shared" si="1"/>
        <v>0</v>
      </c>
      <c r="AC25" s="531">
        <f t="shared" si="1"/>
        <v>0</v>
      </c>
      <c r="AD25" s="531">
        <f t="shared" si="1"/>
        <v>0</v>
      </c>
      <c r="AE25" s="532">
        <f t="shared" si="1"/>
        <v>0</v>
      </c>
      <c r="AF25" s="533">
        <f t="shared" si="1"/>
        <v>0</v>
      </c>
      <c r="AG25" s="534">
        <f t="shared" si="1"/>
        <v>0</v>
      </c>
      <c r="AH25" s="535">
        <f t="shared" si="1"/>
        <v>61</v>
      </c>
      <c r="AI25" s="536">
        <f t="shared" si="1"/>
        <v>21.422724675284559</v>
      </c>
    </row>
    <row r="26" spans="1:35" s="123" customFormat="1" ht="20.100000000000001" customHeight="1" thickBot="1" x14ac:dyDescent="0.3">
      <c r="A26" s="537" t="s">
        <v>35</v>
      </c>
      <c r="B26" s="538">
        <f>SUM(B25,B22,B16,B9)</f>
        <v>285</v>
      </c>
      <c r="C26" s="539">
        <f>B26/'Anlage 1a'!D26*100</f>
        <v>33.928571428571431</v>
      </c>
      <c r="D26" s="538">
        <f>SUM(D25,D22,D16,D9)</f>
        <v>311</v>
      </c>
      <c r="E26" s="539">
        <f>D26/'Anlage 1a'!F26*100</f>
        <v>33.369098712446352</v>
      </c>
      <c r="F26" s="538">
        <f>SUM(F25,F22,F16,F9)</f>
        <v>310</v>
      </c>
      <c r="G26" s="539">
        <f>F26/'Anlage 1a'!H26*100</f>
        <v>35.147392290249435</v>
      </c>
      <c r="H26" s="538">
        <f>SUM(H25,H22,H16,H9)</f>
        <v>323</v>
      </c>
      <c r="I26" s="539">
        <f>H26/'Anlage 1a'!J26*100</f>
        <v>36.621315192743765</v>
      </c>
      <c r="J26" s="540">
        <f>SUM(J25,J22,J16,J9)</f>
        <v>1229</v>
      </c>
      <c r="K26" s="541">
        <f>J26/'Anlage 1a'!L26*100</f>
        <v>34.75678733031674</v>
      </c>
      <c r="L26" s="542"/>
      <c r="M26" s="543"/>
      <c r="N26" s="544"/>
      <c r="O26" s="545"/>
      <c r="P26" s="546"/>
      <c r="Q26" s="545"/>
      <c r="R26" s="546"/>
      <c r="S26" s="545"/>
      <c r="T26" s="546"/>
      <c r="U26" s="545"/>
      <c r="V26" s="546"/>
      <c r="W26" s="545"/>
      <c r="X26" s="542"/>
      <c r="Y26" s="547"/>
      <c r="Z26" s="542"/>
      <c r="AA26" s="547"/>
      <c r="AB26" s="546"/>
      <c r="AC26" s="545"/>
      <c r="AD26" s="546"/>
      <c r="AE26" s="545"/>
      <c r="AF26" s="542"/>
      <c r="AG26" s="543"/>
      <c r="AH26" s="538">
        <f>SUM(AH25,AH22,AH16,AH9)</f>
        <v>1229</v>
      </c>
      <c r="AI26" s="548">
        <f>AH26/'Anlage 1a'!AJ26*100</f>
        <v>34.75678733031674</v>
      </c>
    </row>
    <row r="27" spans="1:35" ht="14.25" thickBot="1" x14ac:dyDescent="0.3">
      <c r="A27" s="501" t="s">
        <v>36</v>
      </c>
      <c r="B27" s="502"/>
      <c r="C27" s="506"/>
      <c r="D27" s="502"/>
      <c r="E27" s="506"/>
      <c r="F27" s="502"/>
      <c r="G27" s="506"/>
      <c r="H27" s="502"/>
      <c r="I27" s="506"/>
      <c r="J27" s="511"/>
      <c r="K27" s="512"/>
      <c r="L27" s="502">
        <v>24</v>
      </c>
      <c r="M27" s="503">
        <f>L27/'Anlage 1a'!N27*100</f>
        <v>46.153846153846153</v>
      </c>
      <c r="N27" s="502">
        <v>20</v>
      </c>
      <c r="O27" s="503">
        <f>N27/'Anlage 1a'!P27*100</f>
        <v>43.478260869565219</v>
      </c>
      <c r="P27" s="502">
        <v>16</v>
      </c>
      <c r="Q27" s="503">
        <f>P27/'Anlage 1a'!R27*100</f>
        <v>44.444444444444443</v>
      </c>
      <c r="R27" s="502">
        <v>22</v>
      </c>
      <c r="S27" s="503">
        <f>R27/'Anlage 1a'!T27*100</f>
        <v>43.137254901960787</v>
      </c>
      <c r="T27" s="502">
        <v>20</v>
      </c>
      <c r="U27" s="503">
        <f>T27/'Anlage 1a'!V27*100</f>
        <v>42.553191489361701</v>
      </c>
      <c r="V27" s="502">
        <v>13</v>
      </c>
      <c r="W27" s="503">
        <f>V27/'Anlage 1a'!X27*100</f>
        <v>27.659574468085108</v>
      </c>
      <c r="X27" s="504">
        <f>SUM(L27,N27,P27,R27,T27,V27)</f>
        <v>115</v>
      </c>
      <c r="Y27" s="505">
        <f>X27/'Anlage 1a'!Z27*100</f>
        <v>41.218637992831539</v>
      </c>
      <c r="Z27" s="502"/>
      <c r="AA27" s="506"/>
      <c r="AB27" s="502"/>
      <c r="AC27" s="506"/>
      <c r="AD27" s="502"/>
      <c r="AE27" s="506"/>
      <c r="AF27" s="511"/>
      <c r="AG27" s="512"/>
      <c r="AH27" s="510">
        <f t="shared" ref="AH27:AH35" si="2">SUM(J27,X27,AF27)</f>
        <v>115</v>
      </c>
      <c r="AI27" s="505">
        <f>AH27/'Anlage 1a'!AJ27*100</f>
        <v>41.218637992831539</v>
      </c>
    </row>
    <row r="28" spans="1:35" s="123" customFormat="1" ht="14.25" thickBot="1" x14ac:dyDescent="0.3">
      <c r="A28" s="549" t="s">
        <v>38</v>
      </c>
      <c r="B28" s="844"/>
      <c r="C28" s="845"/>
      <c r="D28" s="846"/>
      <c r="E28" s="845"/>
      <c r="F28" s="846"/>
      <c r="G28" s="845"/>
      <c r="H28" s="846"/>
      <c r="I28" s="847"/>
      <c r="J28" s="848"/>
      <c r="K28" s="849"/>
      <c r="L28" s="555">
        <f>SUM(L26:L27)</f>
        <v>24</v>
      </c>
      <c r="M28" s="539">
        <f>L28/'Anlage 1a'!N28*100</f>
        <v>46.153846153846153</v>
      </c>
      <c r="N28" s="555">
        <f>SUM(N26:N27)</f>
        <v>20</v>
      </c>
      <c r="O28" s="539">
        <f>N28/'Anlage 1a'!P28*100</f>
        <v>43.478260869565219</v>
      </c>
      <c r="P28" s="555">
        <f>SUM(P26:P27)</f>
        <v>16</v>
      </c>
      <c r="Q28" s="539">
        <f>P28/'Anlage 1a'!R28*100</f>
        <v>44.444444444444443</v>
      </c>
      <c r="R28" s="555">
        <f>SUM(R26:R27)</f>
        <v>22</v>
      </c>
      <c r="S28" s="539">
        <f>R28/'Anlage 1a'!T28*100</f>
        <v>43.137254901960787</v>
      </c>
      <c r="T28" s="555">
        <f>SUM(T26:T27)</f>
        <v>20</v>
      </c>
      <c r="U28" s="539">
        <f>T28/'Anlage 1a'!V28*100</f>
        <v>42.553191489361701</v>
      </c>
      <c r="V28" s="555">
        <f>SUM(V26:V27)</f>
        <v>13</v>
      </c>
      <c r="W28" s="539">
        <f>V28/'Anlage 1a'!X28*100</f>
        <v>27.659574468085108</v>
      </c>
      <c r="X28" s="538">
        <f t="shared" ref="X28:X35" si="3">SUM(L28,N28,P28,R28,T28,V28)</f>
        <v>115</v>
      </c>
      <c r="Y28" s="539">
        <f>X28/'Anlage 1a'!Z28*100</f>
        <v>41.218637992831539</v>
      </c>
      <c r="Z28" s="551"/>
      <c r="AA28" s="550"/>
      <c r="AB28" s="551"/>
      <c r="AC28" s="550"/>
      <c r="AD28" s="551"/>
      <c r="AE28" s="552"/>
      <c r="AF28" s="553"/>
      <c r="AG28" s="554"/>
      <c r="AH28" s="555">
        <f t="shared" si="2"/>
        <v>115</v>
      </c>
      <c r="AI28" s="548">
        <f>AH28/'Anlage 1a'!AJ28*100</f>
        <v>41.218637992831539</v>
      </c>
    </row>
    <row r="29" spans="1:35" s="123" customFormat="1" ht="14.25" thickBot="1" x14ac:dyDescent="0.3">
      <c r="A29" s="556" t="s">
        <v>56</v>
      </c>
      <c r="B29" s="557"/>
      <c r="C29" s="558"/>
      <c r="D29" s="559"/>
      <c r="E29" s="558"/>
      <c r="F29" s="559"/>
      <c r="G29" s="558"/>
      <c r="H29" s="559"/>
      <c r="I29" s="560"/>
      <c r="J29" s="561"/>
      <c r="K29" s="562"/>
      <c r="L29" s="563">
        <v>45</v>
      </c>
      <c r="M29" s="564">
        <f>L29/'Anlage 1a'!N29*100</f>
        <v>45</v>
      </c>
      <c r="N29" s="565">
        <v>45</v>
      </c>
      <c r="O29" s="564">
        <f>N29/'Anlage 1a'!P29*100</f>
        <v>42.056074766355138</v>
      </c>
      <c r="P29" s="565">
        <v>45</v>
      </c>
      <c r="Q29" s="564">
        <f>P29/'Anlage 1a'!R29*100</f>
        <v>45</v>
      </c>
      <c r="R29" s="565">
        <v>40</v>
      </c>
      <c r="S29" s="564">
        <f>R29/'Anlage 1a'!T29*100</f>
        <v>39.603960396039604</v>
      </c>
      <c r="T29" s="565">
        <v>41</v>
      </c>
      <c r="U29" s="564">
        <f>T29/'Anlage 1a'!V29*100</f>
        <v>34.745762711864408</v>
      </c>
      <c r="V29" s="565">
        <v>21</v>
      </c>
      <c r="W29" s="564">
        <f>V29/'Anlage 1a'!X29*100</f>
        <v>19.811320754716981</v>
      </c>
      <c r="X29" s="566">
        <f t="shared" si="3"/>
        <v>237</v>
      </c>
      <c r="Y29" s="567">
        <f>X29/'Anlage 1a'!Z29*100</f>
        <v>37.5</v>
      </c>
      <c r="Z29" s="565"/>
      <c r="AA29" s="568"/>
      <c r="AB29" s="565"/>
      <c r="AC29" s="568"/>
      <c r="AD29" s="565"/>
      <c r="AE29" s="569"/>
      <c r="AF29" s="513"/>
      <c r="AG29" s="514"/>
      <c r="AH29" s="570">
        <f t="shared" si="2"/>
        <v>237</v>
      </c>
      <c r="AI29" s="567">
        <f>AH29/'Anlage 1a'!AJ29*100</f>
        <v>37.5</v>
      </c>
    </row>
    <row r="30" spans="1:35" s="123" customFormat="1" ht="14.25" hidden="1" thickBot="1" x14ac:dyDescent="0.3">
      <c r="A30" s="740" t="s">
        <v>177</v>
      </c>
      <c r="B30" s="741"/>
      <c r="C30" s="742"/>
      <c r="D30" s="743"/>
      <c r="E30" s="742"/>
      <c r="F30" s="743"/>
      <c r="G30" s="742"/>
      <c r="H30" s="743"/>
      <c r="I30" s="744"/>
      <c r="J30" s="745"/>
      <c r="K30" s="746"/>
      <c r="L30" s="747"/>
      <c r="M30" s="748"/>
      <c r="N30" s="749"/>
      <c r="O30" s="748"/>
      <c r="P30" s="749"/>
      <c r="Q30" s="748"/>
      <c r="R30" s="749"/>
      <c r="S30" s="748"/>
      <c r="T30" s="749"/>
      <c r="U30" s="748"/>
      <c r="V30" s="749"/>
      <c r="W30" s="748"/>
      <c r="X30" s="750"/>
      <c r="Y30" s="751"/>
      <c r="Z30" s="749"/>
      <c r="AA30" s="748"/>
      <c r="AB30" s="749"/>
      <c r="AC30" s="748"/>
      <c r="AD30" s="749"/>
      <c r="AE30" s="752"/>
      <c r="AF30" s="750"/>
      <c r="AG30" s="751"/>
      <c r="AH30" s="753"/>
      <c r="AI30" s="751"/>
    </row>
    <row r="31" spans="1:35" s="123" customFormat="1" ht="14.25" thickBot="1" x14ac:dyDescent="0.3">
      <c r="A31" s="573" t="s">
        <v>55</v>
      </c>
      <c r="B31" s="844"/>
      <c r="C31" s="845"/>
      <c r="D31" s="846"/>
      <c r="E31" s="845"/>
      <c r="F31" s="846"/>
      <c r="G31" s="845"/>
      <c r="H31" s="846"/>
      <c r="I31" s="847"/>
      <c r="J31" s="848"/>
      <c r="K31" s="849"/>
      <c r="L31" s="555">
        <f>SUM(L29:L30)</f>
        <v>45</v>
      </c>
      <c r="M31" s="539">
        <f>L31/'Anlage 1a'!N31*100</f>
        <v>45</v>
      </c>
      <c r="N31" s="555">
        <f>SUM(N29:N30)</f>
        <v>45</v>
      </c>
      <c r="O31" s="539">
        <f>N31/'Anlage 1a'!P31*100</f>
        <v>42.056074766355138</v>
      </c>
      <c r="P31" s="555">
        <f>SUM(P29:P30)</f>
        <v>45</v>
      </c>
      <c r="Q31" s="539">
        <f>P31/'Anlage 1a'!R31*100</f>
        <v>45</v>
      </c>
      <c r="R31" s="555">
        <f>SUM(R29:R30)</f>
        <v>40</v>
      </c>
      <c r="S31" s="539">
        <f>R31/'Anlage 1a'!T31*100</f>
        <v>39.603960396039604</v>
      </c>
      <c r="T31" s="555">
        <f>SUM(T29:T30)</f>
        <v>41</v>
      </c>
      <c r="U31" s="539">
        <f>T31/'Anlage 1a'!V31*100</f>
        <v>34.745762711864408</v>
      </c>
      <c r="V31" s="555">
        <f>SUM(V29:V30)</f>
        <v>21</v>
      </c>
      <c r="W31" s="539">
        <f>V31/'Anlage 1a'!X31*100</f>
        <v>19.811320754716981</v>
      </c>
      <c r="X31" s="538">
        <f t="shared" si="3"/>
        <v>237</v>
      </c>
      <c r="Y31" s="539">
        <f>X31/'Anlage 1a'!Z31*100</f>
        <v>37.5</v>
      </c>
      <c r="Z31" s="551"/>
      <c r="AA31" s="550"/>
      <c r="AB31" s="551"/>
      <c r="AC31" s="550"/>
      <c r="AD31" s="551"/>
      <c r="AE31" s="552"/>
      <c r="AF31" s="553"/>
      <c r="AG31" s="554"/>
      <c r="AH31" s="555">
        <f t="shared" si="2"/>
        <v>237</v>
      </c>
      <c r="AI31" s="548">
        <f>AH31/'Anlage 1a'!AJ31*100</f>
        <v>37.5</v>
      </c>
    </row>
    <row r="32" spans="1:35" s="123" customFormat="1" x14ac:dyDescent="0.25">
      <c r="A32" s="556" t="s">
        <v>39</v>
      </c>
      <c r="B32" s="565"/>
      <c r="C32" s="568"/>
      <c r="D32" s="565"/>
      <c r="E32" s="568"/>
      <c r="F32" s="565"/>
      <c r="G32" s="568"/>
      <c r="H32" s="565"/>
      <c r="I32" s="568"/>
      <c r="J32" s="513"/>
      <c r="K32" s="514"/>
      <c r="L32" s="565">
        <v>0</v>
      </c>
      <c r="M32" s="564">
        <f>L32/'Anlage 1a'!N32*100</f>
        <v>0</v>
      </c>
      <c r="N32" s="565">
        <v>4</v>
      </c>
      <c r="O32" s="564">
        <f>N32/'Anlage 1a'!P32*100</f>
        <v>6.3492063492063489</v>
      </c>
      <c r="P32" s="565">
        <v>0</v>
      </c>
      <c r="Q32" s="564">
        <f>P32/'Anlage 1a'!R32*100</f>
        <v>0</v>
      </c>
      <c r="R32" s="565">
        <v>7</v>
      </c>
      <c r="S32" s="564">
        <f>R32/'Anlage 1a'!T32*100</f>
        <v>10</v>
      </c>
      <c r="T32" s="565">
        <v>1</v>
      </c>
      <c r="U32" s="564">
        <f>T32/'Anlage 1a'!V32*100</f>
        <v>1.5151515151515151</v>
      </c>
      <c r="V32" s="851"/>
      <c r="W32" s="564" t="str">
        <f>IF(V32=0,"",V32/'Anlage 1a'!X32*100)</f>
        <v/>
      </c>
      <c r="X32" s="566">
        <f t="shared" si="3"/>
        <v>12</v>
      </c>
      <c r="Y32" s="567">
        <f>X32/'Anlage 1a'!Z32*100</f>
        <v>3.9344262295081971</v>
      </c>
      <c r="Z32" s="565">
        <v>1</v>
      </c>
      <c r="AA32" s="564">
        <f>Z32/'Anlage 1a'!AB32*100</f>
        <v>1.0638297872340425</v>
      </c>
      <c r="AB32" s="565">
        <v>0</v>
      </c>
      <c r="AC32" s="564">
        <f>AB32/'Anlage 1a'!AD32*100</f>
        <v>0</v>
      </c>
      <c r="AD32" s="565">
        <v>0</v>
      </c>
      <c r="AE32" s="564">
        <f>AD32/'Anlage 1a'!AF32*100</f>
        <v>0</v>
      </c>
      <c r="AF32" s="504">
        <f>SUM(Z32,AB32,AD32)</f>
        <v>1</v>
      </c>
      <c r="AG32" s="567">
        <f>AF32/'Anlage 1a'!AH32*100</f>
        <v>0.38910505836575876</v>
      </c>
      <c r="AH32" s="574">
        <f t="shared" si="2"/>
        <v>13</v>
      </c>
      <c r="AI32" s="567">
        <f>AH32/'Anlage 1a'!AJ32*100</f>
        <v>2.3131672597864767</v>
      </c>
    </row>
    <row r="33" spans="1:35" x14ac:dyDescent="0.25">
      <c r="A33" s="501" t="s">
        <v>40</v>
      </c>
      <c r="B33" s="502"/>
      <c r="C33" s="506"/>
      <c r="D33" s="502"/>
      <c r="E33" s="506"/>
      <c r="F33" s="502"/>
      <c r="G33" s="506"/>
      <c r="H33" s="502"/>
      <c r="I33" s="506"/>
      <c r="J33" s="511"/>
      <c r="K33" s="512"/>
      <c r="L33" s="502">
        <v>10</v>
      </c>
      <c r="M33" s="564">
        <f>L33/'Anlage 1a'!N33*100</f>
        <v>7.1942446043165464</v>
      </c>
      <c r="N33" s="502">
        <v>3</v>
      </c>
      <c r="O33" s="564">
        <f>N33/'Anlage 1a'!P33*100</f>
        <v>2</v>
      </c>
      <c r="P33" s="502">
        <v>8</v>
      </c>
      <c r="Q33" s="503">
        <f>P33/'Anlage 1a'!R33*100</f>
        <v>5.6338028169014089</v>
      </c>
      <c r="R33" s="502">
        <v>12</v>
      </c>
      <c r="S33" s="503">
        <f>R33/'Anlage 1a'!T33*100</f>
        <v>8.1632653061224492</v>
      </c>
      <c r="T33" s="502">
        <v>2</v>
      </c>
      <c r="U33" s="503">
        <f>T33/'Anlage 1a'!V33*100</f>
        <v>1.4598540145985401</v>
      </c>
      <c r="V33" s="852"/>
      <c r="W33" s="564" t="str">
        <f>IF(V33=0,"",V33/'Anlage 1a'!X33*100)</f>
        <v/>
      </c>
      <c r="X33" s="566">
        <f t="shared" si="3"/>
        <v>35</v>
      </c>
      <c r="Y33" s="505">
        <f>X33/'Anlage 1a'!Z33*100</f>
        <v>4.895104895104895</v>
      </c>
      <c r="Z33" s="502">
        <v>1</v>
      </c>
      <c r="AA33" s="503">
        <f>Z33/'Anlage 1a'!AB33*100</f>
        <v>0.71942446043165476</v>
      </c>
      <c r="AB33" s="502">
        <v>5</v>
      </c>
      <c r="AC33" s="503">
        <f>AB33/'Anlage 1a'!AD33*100</f>
        <v>2.9940119760479043</v>
      </c>
      <c r="AD33" s="502">
        <v>0</v>
      </c>
      <c r="AE33" s="503">
        <f>AD33/'Anlage 1a'!AF33*100</f>
        <v>0</v>
      </c>
      <c r="AF33" s="504">
        <f>SUM(Z33,AB33,AD33)</f>
        <v>6</v>
      </c>
      <c r="AG33" s="505">
        <f>AF33/'Anlage 1a'!AH33*100</f>
        <v>1.3793103448275863</v>
      </c>
      <c r="AH33" s="574">
        <f t="shared" si="2"/>
        <v>41</v>
      </c>
      <c r="AI33" s="505">
        <f>AH33/'Anlage 1a'!AJ33*100</f>
        <v>3.5652173913043477</v>
      </c>
    </row>
    <row r="34" spans="1:35" x14ac:dyDescent="0.25">
      <c r="A34" s="501" t="s">
        <v>41</v>
      </c>
      <c r="B34" s="502"/>
      <c r="C34" s="506"/>
      <c r="D34" s="502"/>
      <c r="E34" s="506"/>
      <c r="F34" s="502"/>
      <c r="G34" s="506"/>
      <c r="H34" s="502"/>
      <c r="I34" s="506"/>
      <c r="J34" s="511"/>
      <c r="K34" s="512"/>
      <c r="L34" s="502">
        <v>1</v>
      </c>
      <c r="M34" s="503">
        <f>L34/'Anlage 1a'!N34*100</f>
        <v>0.92592592592592582</v>
      </c>
      <c r="N34" s="502">
        <v>1</v>
      </c>
      <c r="O34" s="503">
        <f>N34/'Anlage 1a'!P34*100</f>
        <v>0.71942446043165476</v>
      </c>
      <c r="P34" s="502">
        <v>2</v>
      </c>
      <c r="Q34" s="503">
        <f>P34/'Anlage 1a'!R34*100</f>
        <v>1.8518518518518516</v>
      </c>
      <c r="R34" s="502">
        <v>2</v>
      </c>
      <c r="S34" s="503">
        <f>R34/'Anlage 1a'!T34*100</f>
        <v>2.1052631578947367</v>
      </c>
      <c r="T34" s="502">
        <v>3</v>
      </c>
      <c r="U34" s="503">
        <f>T34/'Anlage 1a'!V34*100</f>
        <v>2.912621359223301</v>
      </c>
      <c r="V34" s="852"/>
      <c r="W34" s="564" t="str">
        <f>IF(V34=0,"",V34/'Anlage 1a'!X34*100)</f>
        <v/>
      </c>
      <c r="X34" s="504">
        <f t="shared" si="3"/>
        <v>9</v>
      </c>
      <c r="Y34" s="505">
        <f>X34/'Anlage 1a'!Z34*100</f>
        <v>1.62748643761302</v>
      </c>
      <c r="Z34" s="502">
        <v>1</v>
      </c>
      <c r="AA34" s="503">
        <f>Z34/'Anlage 1a'!AB34*100</f>
        <v>0.94339622641509435</v>
      </c>
      <c r="AB34" s="502">
        <v>0</v>
      </c>
      <c r="AC34" s="503">
        <f>AB34/'Anlage 1a'!AD34*100</f>
        <v>0</v>
      </c>
      <c r="AD34" s="502">
        <v>0</v>
      </c>
      <c r="AE34" s="503">
        <f>AD34/'Anlage 1a'!AF34*100</f>
        <v>0</v>
      </c>
      <c r="AF34" s="504">
        <f>SUM(Z34,AB34,AD34)</f>
        <v>1</v>
      </c>
      <c r="AG34" s="505">
        <f>AF34/'Anlage 1a'!AH34*100</f>
        <v>0.33222591362126247</v>
      </c>
      <c r="AH34" s="574">
        <f t="shared" si="2"/>
        <v>10</v>
      </c>
      <c r="AI34" s="505">
        <f>AH34/'Anlage 1a'!AJ34*100</f>
        <v>1.1709601873536302</v>
      </c>
    </row>
    <row r="35" spans="1:35" ht="14.25" thickBot="1" x14ac:dyDescent="0.3">
      <c r="A35" s="501" t="s">
        <v>42</v>
      </c>
      <c r="B35" s="502"/>
      <c r="C35" s="506"/>
      <c r="D35" s="502"/>
      <c r="E35" s="506"/>
      <c r="F35" s="502"/>
      <c r="G35" s="506"/>
      <c r="H35" s="502"/>
      <c r="I35" s="506"/>
      <c r="J35" s="511"/>
      <c r="K35" s="512"/>
      <c r="L35" s="572">
        <v>19</v>
      </c>
      <c r="M35" s="571">
        <f>L35/'Anlage 1a'!N35*100</f>
        <v>25.675675675675674</v>
      </c>
      <c r="N35" s="572">
        <v>19</v>
      </c>
      <c r="O35" s="571">
        <f>N35/'Anlage 1a'!P35*100</f>
        <v>18.095238095238095</v>
      </c>
      <c r="P35" s="572">
        <v>25</v>
      </c>
      <c r="Q35" s="571">
        <f>P35/'Anlage 1a'!R35*100</f>
        <v>23.809523809523807</v>
      </c>
      <c r="R35" s="572">
        <v>31</v>
      </c>
      <c r="S35" s="571">
        <f>R35/'Anlage 1a'!T35*100</f>
        <v>29.245283018867923</v>
      </c>
      <c r="T35" s="572">
        <v>31</v>
      </c>
      <c r="U35" s="571">
        <f>T35/'Anlage 1a'!V35*100</f>
        <v>28.440366972477065</v>
      </c>
      <c r="V35" s="853"/>
      <c r="W35" s="575" t="str">
        <f>IF(V35=0,"",V35/'Anlage 1a'!X35*100)</f>
        <v/>
      </c>
      <c r="X35" s="504">
        <f t="shared" si="3"/>
        <v>125</v>
      </c>
      <c r="Y35" s="505">
        <f>X35/'Anlage 1a'!Z35*100</f>
        <v>25.050100200400799</v>
      </c>
      <c r="Z35" s="502">
        <v>24</v>
      </c>
      <c r="AA35" s="503">
        <f>Z35/'Anlage 1a'!AB35*100</f>
        <v>25.263157894736842</v>
      </c>
      <c r="AB35" s="502">
        <v>22</v>
      </c>
      <c r="AC35" s="503">
        <f>AB35/'Anlage 1a'!AD35*100</f>
        <v>24.444444444444443</v>
      </c>
      <c r="AD35" s="502">
        <v>15</v>
      </c>
      <c r="AE35" s="503">
        <f>AD35/'Anlage 1a'!AF35*100</f>
        <v>19.480519480519483</v>
      </c>
      <c r="AF35" s="504">
        <f>SUM(Z35,AB35,AD35)</f>
        <v>61</v>
      </c>
      <c r="AG35" s="505">
        <f>AF35/'Anlage 1a'!AH35*100</f>
        <v>23.282442748091604</v>
      </c>
      <c r="AH35" s="574">
        <f t="shared" si="2"/>
        <v>186</v>
      </c>
      <c r="AI35" s="505">
        <f>AH35/'Anlage 1a'!AJ35*100</f>
        <v>24.441524310118265</v>
      </c>
    </row>
    <row r="36" spans="1:35" s="123" customFormat="1" ht="14.25" thickBot="1" x14ac:dyDescent="0.3">
      <c r="A36" s="549" t="s">
        <v>43</v>
      </c>
      <c r="B36" s="846"/>
      <c r="C36" s="845"/>
      <c r="D36" s="846"/>
      <c r="E36" s="845"/>
      <c r="F36" s="846"/>
      <c r="G36" s="845"/>
      <c r="H36" s="846"/>
      <c r="I36" s="845"/>
      <c r="J36" s="848"/>
      <c r="K36" s="849"/>
      <c r="L36" s="540">
        <f>SUM(L32:L35)</f>
        <v>30</v>
      </c>
      <c r="M36" s="539">
        <f>L36/'Anlage 1a'!N36*100</f>
        <v>8.1967213114754092</v>
      </c>
      <c r="N36" s="538">
        <f>SUM(N32:N35)</f>
        <v>27</v>
      </c>
      <c r="O36" s="539">
        <f>N36/'Anlage 1a'!P36*100</f>
        <v>5.9080962800875279</v>
      </c>
      <c r="P36" s="538">
        <f>SUM(P32:P35)</f>
        <v>35</v>
      </c>
      <c r="Q36" s="539">
        <f>P36/'Anlage 1a'!R36*100</f>
        <v>8.4134615384615383</v>
      </c>
      <c r="R36" s="538">
        <f>SUM(R32:R35)</f>
        <v>52</v>
      </c>
      <c r="S36" s="539">
        <f>R36/'Anlage 1a'!T36*100</f>
        <v>12.440191387559809</v>
      </c>
      <c r="T36" s="538">
        <f>SUM(T32:T35)</f>
        <v>37</v>
      </c>
      <c r="U36" s="539">
        <f>T36/'Anlage 1a'!V36*100</f>
        <v>8.9156626506024104</v>
      </c>
      <c r="V36" s="538">
        <f>SUM(V32:V35)</f>
        <v>0</v>
      </c>
      <c r="W36" s="548">
        <f>IF(V36=0,0,V36/'Anlage 1a'!X36*100)</f>
        <v>0</v>
      </c>
      <c r="X36" s="540">
        <f>SUM(X32:X35)</f>
        <v>181</v>
      </c>
      <c r="Y36" s="548">
        <f>X36/'Anlage 1a'!Z36*100</f>
        <v>8.7355212355212366</v>
      </c>
      <c r="Z36" s="538">
        <f>SUM(Z32:Z35)</f>
        <v>27</v>
      </c>
      <c r="AA36" s="539">
        <f>Z36/'Anlage 1a'!AB36*100</f>
        <v>6.2211981566820276</v>
      </c>
      <c r="AB36" s="538">
        <f>SUM(AB32:AB35)</f>
        <v>27</v>
      </c>
      <c r="AC36" s="539">
        <f>AB36/'Anlage 1a'!AD36*100</f>
        <v>6.0810810810810816</v>
      </c>
      <c r="AD36" s="538">
        <f>SUM(AD32:AD35)</f>
        <v>15</v>
      </c>
      <c r="AE36" s="539">
        <f>AD36/'Anlage 1a'!AF36*100</f>
        <v>3.978779840848806</v>
      </c>
      <c r="AF36" s="540">
        <f>SUM(AF32:AF35)</f>
        <v>69</v>
      </c>
      <c r="AG36" s="548">
        <f>AF36/'Anlage 1a'!AH36*100</f>
        <v>5.4980079681274896</v>
      </c>
      <c r="AH36" s="538">
        <f>SUM(AH32:AH35)</f>
        <v>250</v>
      </c>
      <c r="AI36" s="548">
        <f>AH36/'Anlage 1a'!AJ36*100</f>
        <v>7.5142771265404269</v>
      </c>
    </row>
    <row r="37" spans="1:35" s="123" customFormat="1" x14ac:dyDescent="0.25">
      <c r="A37" s="501" t="s">
        <v>44</v>
      </c>
      <c r="B37" s="502"/>
      <c r="C37" s="506"/>
      <c r="D37" s="502"/>
      <c r="E37" s="506"/>
      <c r="F37" s="502"/>
      <c r="G37" s="506"/>
      <c r="H37" s="502"/>
      <c r="I37" s="506"/>
      <c r="J37" s="511"/>
      <c r="K37" s="512"/>
      <c r="L37" s="565">
        <v>51</v>
      </c>
      <c r="M37" s="564">
        <f>L37/'Anlage 1a'!N37*100</f>
        <v>37.226277372262771</v>
      </c>
      <c r="N37" s="565">
        <v>51</v>
      </c>
      <c r="O37" s="564">
        <f>N37/'Anlage 1a'!P37*100</f>
        <v>34.93150684931507</v>
      </c>
      <c r="P37" s="565">
        <v>57</v>
      </c>
      <c r="Q37" s="564">
        <f>P37/'Anlage 1a'!R37*100</f>
        <v>40.714285714285715</v>
      </c>
      <c r="R37" s="565">
        <v>42</v>
      </c>
      <c r="S37" s="564">
        <f>R37/'Anlage 1a'!T37*100</f>
        <v>28.767123287671232</v>
      </c>
      <c r="T37" s="565">
        <v>51</v>
      </c>
      <c r="U37" s="564">
        <f>T37/'Anlage 1a'!V37*100</f>
        <v>34.228187919463089</v>
      </c>
      <c r="V37" s="565">
        <v>32</v>
      </c>
      <c r="W37" s="564">
        <f>V37/'Anlage 1a'!X37*100</f>
        <v>30.76923076923077</v>
      </c>
      <c r="X37" s="504">
        <f>SUM(L37,N37,P37,R37,T37,V37)</f>
        <v>284</v>
      </c>
      <c r="Y37" s="505">
        <f>X37/'Anlage 1a'!Z37*100</f>
        <v>34.549878345498783</v>
      </c>
      <c r="Z37" s="502">
        <v>24</v>
      </c>
      <c r="AA37" s="503">
        <f>Z37/'Anlage 1a'!AB37*100</f>
        <v>29.629629629629626</v>
      </c>
      <c r="AB37" s="502">
        <v>9</v>
      </c>
      <c r="AC37" s="503">
        <f>AB37/'Anlage 1a'!AD37*100</f>
        <v>23.684210526315788</v>
      </c>
      <c r="AD37" s="502">
        <v>14</v>
      </c>
      <c r="AE37" s="503">
        <f>AD37/'Anlage 1a'!AF37*100</f>
        <v>22.950819672131146</v>
      </c>
      <c r="AF37" s="504">
        <f>SUM(Z37,AB37,AD37)</f>
        <v>47</v>
      </c>
      <c r="AG37" s="505">
        <f>AF37/'Anlage 1a'!AH37*100</f>
        <v>26.111111111111114</v>
      </c>
      <c r="AH37" s="510">
        <f>SUM(J37,X37,AF37)</f>
        <v>331</v>
      </c>
      <c r="AI37" s="505">
        <f>AH37/'Anlage 1a'!AJ37*100</f>
        <v>33.033932135728541</v>
      </c>
    </row>
    <row r="38" spans="1:35" x14ac:dyDescent="0.25">
      <c r="A38" s="501" t="s">
        <v>52</v>
      </c>
      <c r="B38" s="502"/>
      <c r="C38" s="506"/>
      <c r="D38" s="502"/>
      <c r="E38" s="506"/>
      <c r="F38" s="502"/>
      <c r="G38" s="506"/>
      <c r="H38" s="502"/>
      <c r="I38" s="506"/>
      <c r="J38" s="511"/>
      <c r="K38" s="512"/>
      <c r="L38" s="502">
        <v>34</v>
      </c>
      <c r="M38" s="503">
        <f>L38/'Anlage 1a'!N38*100</f>
        <v>24.817518248175183</v>
      </c>
      <c r="N38" s="502">
        <v>30</v>
      </c>
      <c r="O38" s="503">
        <f>N38/'Anlage 1a'!P38*100</f>
        <v>26.315789473684209</v>
      </c>
      <c r="P38" s="502">
        <v>33</v>
      </c>
      <c r="Q38" s="503">
        <f>P38/'Anlage 1a'!R38*100</f>
        <v>30.275229357798167</v>
      </c>
      <c r="R38" s="502">
        <v>70</v>
      </c>
      <c r="S38" s="503">
        <f>R38/'Anlage 1a'!T38*100</f>
        <v>48.275862068965516</v>
      </c>
      <c r="T38" s="502">
        <v>35</v>
      </c>
      <c r="U38" s="503">
        <f>T38/'Anlage 1a'!V38*100</f>
        <v>23.48993288590604</v>
      </c>
      <c r="V38" s="502">
        <v>63</v>
      </c>
      <c r="W38" s="503">
        <f>V38/'Anlage 1a'!X38*100</f>
        <v>49.21875</v>
      </c>
      <c r="X38" s="504">
        <f>SUM(L38,N38,P38,R38,T38,V38)</f>
        <v>265</v>
      </c>
      <c r="Y38" s="505">
        <f>X38/'Anlage 1a'!Z38*100</f>
        <v>33.887468030690535</v>
      </c>
      <c r="Z38" s="502">
        <v>21</v>
      </c>
      <c r="AA38" s="503">
        <f>Z38/'Anlage 1a'!AB38*100</f>
        <v>36.84210526315789</v>
      </c>
      <c r="AB38" s="502">
        <v>22</v>
      </c>
      <c r="AC38" s="503">
        <f>AB38/'Anlage 1a'!AD38*100</f>
        <v>36.065573770491802</v>
      </c>
      <c r="AD38" s="502">
        <v>20</v>
      </c>
      <c r="AE38" s="503">
        <f>AD38/'Anlage 1a'!AF38*100</f>
        <v>40</v>
      </c>
      <c r="AF38" s="504">
        <f>SUM(Z38,AB38,AD38)</f>
        <v>63</v>
      </c>
      <c r="AG38" s="505">
        <f>AF38/'Anlage 1a'!AH38*100</f>
        <v>37.5</v>
      </c>
      <c r="AH38" s="510">
        <f>SUM(J38,X38,AF38)</f>
        <v>328</v>
      </c>
      <c r="AI38" s="505">
        <f>AH38/'Anlage 1a'!AJ38*100</f>
        <v>34.526315789473685</v>
      </c>
    </row>
    <row r="39" spans="1:35" ht="14.25" thickBot="1" x14ac:dyDescent="0.3">
      <c r="A39" s="501" t="s">
        <v>45</v>
      </c>
      <c r="B39" s="502"/>
      <c r="C39" s="506"/>
      <c r="D39" s="502"/>
      <c r="E39" s="506"/>
      <c r="F39" s="502"/>
      <c r="G39" s="506"/>
      <c r="H39" s="502"/>
      <c r="I39" s="506"/>
      <c r="J39" s="511"/>
      <c r="K39" s="512"/>
      <c r="L39" s="502">
        <v>3</v>
      </c>
      <c r="M39" s="503">
        <f>L39/'Anlage 1a'!N39*100</f>
        <v>2.5641025641025639</v>
      </c>
      <c r="N39" s="502">
        <v>10</v>
      </c>
      <c r="O39" s="503">
        <f>N39/'Anlage 1a'!P39*100</f>
        <v>8.3333333333333321</v>
      </c>
      <c r="P39" s="502">
        <v>14</v>
      </c>
      <c r="Q39" s="503">
        <f>P39/'Anlage 1a'!R39*100</f>
        <v>11.965811965811966</v>
      </c>
      <c r="R39" s="502">
        <v>13</v>
      </c>
      <c r="S39" s="503">
        <f>R39/'Anlage 1a'!T39*100</f>
        <v>10.92436974789916</v>
      </c>
      <c r="T39" s="502">
        <v>6</v>
      </c>
      <c r="U39" s="503">
        <f>T39/'Anlage 1a'!V39*100</f>
        <v>5.1282051282051277</v>
      </c>
      <c r="V39" s="502">
        <v>6</v>
      </c>
      <c r="W39" s="503">
        <f>V39/'Anlage 1a'!X39*100</f>
        <v>5</v>
      </c>
      <c r="X39" s="504">
        <f>SUM(L39,N39,P39,R39,T39,V39)</f>
        <v>52</v>
      </c>
      <c r="Y39" s="505">
        <f>X39/'Anlage 1a'!Z39*100</f>
        <v>7.323943661971831</v>
      </c>
      <c r="Z39" s="502">
        <v>1</v>
      </c>
      <c r="AA39" s="503">
        <f>Z39/'Anlage 1a'!AB39*100</f>
        <v>1.1111111111111112</v>
      </c>
      <c r="AB39" s="502">
        <v>1</v>
      </c>
      <c r="AC39" s="503">
        <f>AB39/'Anlage 1a'!AD39*100</f>
        <v>1.1235955056179776</v>
      </c>
      <c r="AD39" s="502">
        <v>7</v>
      </c>
      <c r="AE39" s="503">
        <f>AD39/'Anlage 1a'!AF39*100</f>
        <v>9.0909090909090917</v>
      </c>
      <c r="AF39" s="504">
        <f>SUM(Z39,AB39,AD39)</f>
        <v>9</v>
      </c>
      <c r="AG39" s="505">
        <f>AF39/'Anlage 1a'!AH39*100</f>
        <v>3.515625</v>
      </c>
      <c r="AH39" s="510">
        <f>SUM(J39,X39,AF39)</f>
        <v>61</v>
      </c>
      <c r="AI39" s="505">
        <f>AH39/'Anlage 1a'!AJ39*100</f>
        <v>6.3146997929606625</v>
      </c>
    </row>
    <row r="40" spans="1:35" s="123" customFormat="1" ht="14.25" thickBot="1" x14ac:dyDescent="0.3">
      <c r="A40" s="549" t="s">
        <v>46</v>
      </c>
      <c r="B40" s="846"/>
      <c r="C40" s="845"/>
      <c r="D40" s="846"/>
      <c r="E40" s="845"/>
      <c r="F40" s="846"/>
      <c r="G40" s="845"/>
      <c r="H40" s="846"/>
      <c r="I40" s="845"/>
      <c r="J40" s="848"/>
      <c r="K40" s="849"/>
      <c r="L40" s="538">
        <f>SUM(L37:L39)</f>
        <v>88</v>
      </c>
      <c r="M40" s="539">
        <f>L40/'Anlage 1a'!N40*100</f>
        <v>22.506393861892583</v>
      </c>
      <c r="N40" s="538">
        <f>SUM(N37:N39)</f>
        <v>91</v>
      </c>
      <c r="O40" s="539">
        <f>N40/'Anlage 1a'!P40*100</f>
        <v>23.94736842105263</v>
      </c>
      <c r="P40" s="538">
        <f>SUM(P37:P39)</f>
        <v>104</v>
      </c>
      <c r="Q40" s="539">
        <f>P40/'Anlage 1a'!R40*100</f>
        <v>28.415300546448087</v>
      </c>
      <c r="R40" s="538">
        <f>SUM(R37:R39)</f>
        <v>125</v>
      </c>
      <c r="S40" s="539">
        <f>R40/'Anlage 1a'!T40*100</f>
        <v>30.487804878048781</v>
      </c>
      <c r="T40" s="538">
        <f>SUM(T37:T39)</f>
        <v>92</v>
      </c>
      <c r="U40" s="539">
        <f>T40/'Anlage 1a'!V40*100</f>
        <v>22.168674698795179</v>
      </c>
      <c r="V40" s="538">
        <f>SUM(V37:V39)</f>
        <v>101</v>
      </c>
      <c r="W40" s="539">
        <f>V40/'Anlage 1a'!X40*100</f>
        <v>28.693181818181817</v>
      </c>
      <c r="X40" s="540">
        <f>SUM(X37:X39)</f>
        <v>601</v>
      </c>
      <c r="Y40" s="548">
        <f>X40/'Anlage 1a'!Z40*100</f>
        <v>25.972342264477096</v>
      </c>
      <c r="Z40" s="538">
        <f>SUM(Z37:Z39)</f>
        <v>46</v>
      </c>
      <c r="AA40" s="539">
        <f>Z40/'Anlage 1a'!AB40*100</f>
        <v>20.175438596491226</v>
      </c>
      <c r="AB40" s="538">
        <f>SUM(AB37:AB39)</f>
        <v>32</v>
      </c>
      <c r="AC40" s="539">
        <f>AB40/'Anlage 1a'!AD40*100</f>
        <v>17.021276595744681</v>
      </c>
      <c r="AD40" s="538">
        <f>SUM(AD37:AD39)</f>
        <v>41</v>
      </c>
      <c r="AE40" s="539">
        <f>AD40/'Anlage 1a'!AF40*100</f>
        <v>21.808510638297875</v>
      </c>
      <c r="AF40" s="540">
        <f>SUM(AF37:AF39)</f>
        <v>119</v>
      </c>
      <c r="AG40" s="548">
        <f>AF40/'Anlage 1a'!AH40*100</f>
        <v>19.701986754966889</v>
      </c>
      <c r="AH40" s="538">
        <f>SUM(AH37:AH39)</f>
        <v>720</v>
      </c>
      <c r="AI40" s="548">
        <f>AH40/'Anlage 1a'!AJ40*100</f>
        <v>24.674434544208363</v>
      </c>
    </row>
    <row r="41" spans="1:35" s="123" customFormat="1" ht="20.100000000000001" customHeight="1" thickBot="1" x14ac:dyDescent="0.3">
      <c r="A41" s="537" t="s">
        <v>47</v>
      </c>
      <c r="B41" s="546"/>
      <c r="C41" s="545"/>
      <c r="D41" s="546"/>
      <c r="E41" s="545"/>
      <c r="F41" s="546"/>
      <c r="G41" s="545"/>
      <c r="H41" s="546"/>
      <c r="I41" s="545"/>
      <c r="J41" s="542"/>
      <c r="K41" s="543"/>
      <c r="L41" s="538">
        <f>SUM(L28,L31,L36,L40)</f>
        <v>187</v>
      </c>
      <c r="M41" s="539">
        <f>L41/'Anlage 1a'!N41*100</f>
        <v>20.572057205720572</v>
      </c>
      <c r="N41" s="538">
        <f>SUM(N28,N31,N36,N40)</f>
        <v>183</v>
      </c>
      <c r="O41" s="539">
        <f>N41/'Anlage 1a'!P41*100</f>
        <v>18.484848484848484</v>
      </c>
      <c r="P41" s="538">
        <f>SUM(P28,P31,P36,P40)</f>
        <v>200</v>
      </c>
      <c r="Q41" s="539">
        <f>P41/'Anlage 1a'!R41*100</f>
        <v>21.786492374727668</v>
      </c>
      <c r="R41" s="538">
        <f>SUM(R28,R31,R36,R40)</f>
        <v>239</v>
      </c>
      <c r="S41" s="539">
        <f>R41/'Anlage 1a'!T41*100</f>
        <v>24.387755102040817</v>
      </c>
      <c r="T41" s="538">
        <f>SUM(T28,T31,T36,T40)</f>
        <v>190</v>
      </c>
      <c r="U41" s="539">
        <f>T41/'Anlage 1a'!V41*100</f>
        <v>19.095477386934672</v>
      </c>
      <c r="V41" s="538">
        <f>SUM(V28,V31,V36,V40)</f>
        <v>135</v>
      </c>
      <c r="W41" s="539">
        <f>V41/'Anlage 1a'!X41*100</f>
        <v>26.732673267326735</v>
      </c>
      <c r="X41" s="576">
        <f>SUM(X28,X31,X36,X40)</f>
        <v>1134</v>
      </c>
      <c r="Y41" s="577">
        <f>X41/'Anlage 1a'!Z41*100</f>
        <v>21.408344345856143</v>
      </c>
      <c r="Z41" s="546">
        <f>SUM(Z28,Z31,Z36,Z40)</f>
        <v>73</v>
      </c>
      <c r="AA41" s="539">
        <f>Z41/'Anlage 1a'!AB41*100</f>
        <v>11.027190332326283</v>
      </c>
      <c r="AB41" s="546">
        <f>SUM(AB28,AB31,AB36,AB40)</f>
        <v>59</v>
      </c>
      <c r="AC41" s="539">
        <f>AB41/'Anlage 1a'!AD41*100</f>
        <v>9.3354430379746827</v>
      </c>
      <c r="AD41" s="546">
        <f>SUM(AD28,AD31,AD36,AD40)</f>
        <v>56</v>
      </c>
      <c r="AE41" s="539">
        <f>AD41/'Anlage 1a'!AF41*100</f>
        <v>9.9115044247787605</v>
      </c>
      <c r="AF41" s="542">
        <f>SUM(AF28,AF31,AF36,AF40)</f>
        <v>188</v>
      </c>
      <c r="AG41" s="548">
        <f>AF41/'Anlage 1a'!AH41*100</f>
        <v>10.112963959117806</v>
      </c>
      <c r="AH41" s="538">
        <f>SUM(AH28,AH31,AH36,AH40)</f>
        <v>1322</v>
      </c>
      <c r="AI41" s="548">
        <f>AH41/'Anlage 1a'!AJ41*100</f>
        <v>18.474007825600893</v>
      </c>
    </row>
    <row r="42" spans="1:35" s="123" customFormat="1" ht="14.25" hidden="1" thickBot="1" x14ac:dyDescent="0.3">
      <c r="A42" s="754" t="s">
        <v>175</v>
      </c>
      <c r="B42" s="755"/>
      <c r="C42" s="756"/>
      <c r="D42" s="757"/>
      <c r="E42" s="756"/>
      <c r="F42" s="757"/>
      <c r="G42" s="756"/>
      <c r="H42" s="757"/>
      <c r="I42" s="758"/>
      <c r="J42" s="759"/>
      <c r="K42" s="760"/>
      <c r="L42" s="759"/>
      <c r="M42" s="756"/>
      <c r="N42" s="757"/>
      <c r="O42" s="756"/>
      <c r="P42" s="757"/>
      <c r="Q42" s="756"/>
      <c r="R42" s="757"/>
      <c r="S42" s="756"/>
      <c r="T42" s="757"/>
      <c r="U42" s="756"/>
      <c r="V42" s="757"/>
      <c r="W42" s="758"/>
      <c r="X42" s="759"/>
      <c r="Y42" s="760"/>
      <c r="Z42" s="761"/>
      <c r="AA42" s="762"/>
      <c r="AB42" s="763"/>
      <c r="AC42" s="762"/>
      <c r="AD42" s="763"/>
      <c r="AE42" s="762"/>
      <c r="AF42" s="764"/>
      <c r="AG42" s="765"/>
      <c r="AH42" s="755"/>
      <c r="AI42" s="760"/>
    </row>
    <row r="43" spans="1:35" s="123" customFormat="1" ht="14.25" hidden="1" thickBot="1" x14ac:dyDescent="0.3">
      <c r="A43" s="766" t="s">
        <v>176</v>
      </c>
      <c r="B43" s="755"/>
      <c r="C43" s="767"/>
      <c r="D43" s="757"/>
      <c r="E43" s="767"/>
      <c r="F43" s="757"/>
      <c r="G43" s="767"/>
      <c r="H43" s="757"/>
      <c r="I43" s="758"/>
      <c r="J43" s="768"/>
      <c r="K43" s="769"/>
      <c r="L43" s="768"/>
      <c r="M43" s="767"/>
      <c r="N43" s="770"/>
      <c r="O43" s="767"/>
      <c r="P43" s="770"/>
      <c r="Q43" s="767"/>
      <c r="R43" s="770"/>
      <c r="S43" s="767"/>
      <c r="T43" s="770"/>
      <c r="U43" s="767"/>
      <c r="V43" s="770"/>
      <c r="W43" s="771"/>
      <c r="X43" s="768"/>
      <c r="Y43" s="769"/>
      <c r="Z43" s="772"/>
      <c r="AA43" s="773"/>
      <c r="AB43" s="774"/>
      <c r="AC43" s="773"/>
      <c r="AD43" s="774"/>
      <c r="AE43" s="773"/>
      <c r="AF43" s="775"/>
      <c r="AG43" s="776"/>
      <c r="AH43" s="777"/>
      <c r="AI43" s="769"/>
    </row>
    <row r="44" spans="1:35" s="123" customFormat="1" ht="14.25" hidden="1" thickBot="1" x14ac:dyDescent="0.3">
      <c r="A44" s="778" t="s">
        <v>178</v>
      </c>
      <c r="B44" s="779"/>
      <c r="C44" s="780"/>
      <c r="D44" s="781"/>
      <c r="E44" s="780"/>
      <c r="F44" s="781"/>
      <c r="G44" s="780"/>
      <c r="H44" s="781"/>
      <c r="I44" s="780"/>
      <c r="J44" s="782"/>
      <c r="K44" s="783"/>
      <c r="L44" s="781"/>
      <c r="M44" s="780"/>
      <c r="N44" s="781"/>
      <c r="O44" s="780"/>
      <c r="P44" s="781"/>
      <c r="Q44" s="784"/>
      <c r="R44" s="781"/>
      <c r="S44" s="780"/>
      <c r="T44" s="781"/>
      <c r="U44" s="780"/>
      <c r="V44" s="781"/>
      <c r="W44" s="780"/>
      <c r="X44" s="782"/>
      <c r="Y44" s="783"/>
      <c r="Z44" s="781"/>
      <c r="AA44" s="780"/>
      <c r="AB44" s="781"/>
      <c r="AC44" s="780"/>
      <c r="AD44" s="781"/>
      <c r="AE44" s="780"/>
      <c r="AF44" s="785"/>
      <c r="AG44" s="786"/>
      <c r="AH44" s="782"/>
      <c r="AI44" s="783"/>
    </row>
    <row r="45" spans="1:35" s="123" customFormat="1" ht="21" customHeight="1" thickBot="1" x14ac:dyDescent="0.3">
      <c r="A45" s="578" t="s">
        <v>48</v>
      </c>
      <c r="B45" s="579">
        <f>SUM(B26,B44)</f>
        <v>285</v>
      </c>
      <c r="C45" s="539">
        <f>B45/'Anlage 1a'!D45*100</f>
        <v>33.928571428571431</v>
      </c>
      <c r="D45" s="579">
        <f>SUM(D26,D44)</f>
        <v>311</v>
      </c>
      <c r="E45" s="539">
        <f>D45/'Anlage 1a'!F45*100</f>
        <v>33.369098712446352</v>
      </c>
      <c r="F45" s="579">
        <f>SUM(F26,F44)</f>
        <v>310</v>
      </c>
      <c r="G45" s="539">
        <f>F45/'Anlage 1a'!H45*100</f>
        <v>35.147392290249435</v>
      </c>
      <c r="H45" s="579">
        <f>SUM(H26,H44)</f>
        <v>323</v>
      </c>
      <c r="I45" s="539">
        <f>H45/'Anlage 1a'!J45*100</f>
        <v>36.621315192743765</v>
      </c>
      <c r="J45" s="580">
        <f>SUM(J26,J44)</f>
        <v>1229</v>
      </c>
      <c r="K45" s="548">
        <f>J45/'Anlage 1a'!L45*100</f>
        <v>34.75678733031674</v>
      </c>
      <c r="L45" s="579">
        <f>SUM(L25,L41,L44)</f>
        <v>187</v>
      </c>
      <c r="M45" s="539">
        <f>L45/'Anlage 1a'!N45*100</f>
        <v>20.572057205720572</v>
      </c>
      <c r="N45" s="538">
        <f>SUM(N25,N41,N44)</f>
        <v>183</v>
      </c>
      <c r="O45" s="539">
        <f>N45/'Anlage 1a'!P45*100</f>
        <v>18.484848484848484</v>
      </c>
      <c r="P45" s="538">
        <f>SUM(P25,P41,P44)</f>
        <v>200</v>
      </c>
      <c r="Q45" s="539">
        <f>P45/'Anlage 1a'!R45*100</f>
        <v>21.786492374727668</v>
      </c>
      <c r="R45" s="538">
        <f>SUM(R25,R41,R44)</f>
        <v>239</v>
      </c>
      <c r="S45" s="539">
        <f>R45/'Anlage 1a'!T45*100</f>
        <v>24.387755102040817</v>
      </c>
      <c r="T45" s="538">
        <f>SUM(T25,T41,T44)</f>
        <v>190</v>
      </c>
      <c r="U45" s="539">
        <f>T45/'Anlage 1a'!V45*100</f>
        <v>19.095477386934672</v>
      </c>
      <c r="V45" s="538">
        <f>SUM(V25,V41,V44)</f>
        <v>135</v>
      </c>
      <c r="W45" s="539">
        <f>V45/'Anlage 1a'!X45*100</f>
        <v>26.732673267326735</v>
      </c>
      <c r="X45" s="540">
        <f>SUM(X25,X41,X44)</f>
        <v>1134</v>
      </c>
      <c r="Y45" s="548">
        <f>X45/'Anlage 1a'!Z45*100</f>
        <v>21.408344345856143</v>
      </c>
      <c r="Z45" s="546">
        <f>SUM(Z25,Z41,Z44)</f>
        <v>73</v>
      </c>
      <c r="AA45" s="539">
        <f>Z45/'Anlage 1a'!AB45*100</f>
        <v>11.027190332326283</v>
      </c>
      <c r="AB45" s="546">
        <f>SUM(AB25,AB41,AB44)</f>
        <v>59</v>
      </c>
      <c r="AC45" s="539">
        <f>AB45/'Anlage 1a'!AD45*100</f>
        <v>9.3354430379746827</v>
      </c>
      <c r="AD45" s="546">
        <f>SUM(AD25,AD41,AD44)</f>
        <v>56</v>
      </c>
      <c r="AE45" s="539">
        <f>AD45/'Anlage 1a'!AF45*100</f>
        <v>9.9115044247787605</v>
      </c>
      <c r="AF45" s="542">
        <f>SUM(AF25,AF41,AF44)</f>
        <v>188</v>
      </c>
      <c r="AG45" s="548">
        <f>AF45/'Anlage 1a'!AH45*100</f>
        <v>10.112963959117806</v>
      </c>
      <c r="AH45" s="579">
        <f>SUM(AH26,AH41,AH44)</f>
        <v>2551</v>
      </c>
      <c r="AI45" s="548">
        <f>AH45/'Anlage 1a'!AJ45*100</f>
        <v>23.85895997007108</v>
      </c>
    </row>
    <row r="46" spans="1:35" s="123" customFormat="1" ht="20.100000000000001" customHeight="1" x14ac:dyDescent="0.25">
      <c r="A46" s="3"/>
      <c r="B46" s="3"/>
      <c r="C46" s="131"/>
      <c r="D46" s="3"/>
      <c r="E46" s="131"/>
      <c r="F46" s="3"/>
      <c r="G46" s="131"/>
      <c r="H46" s="3"/>
      <c r="I46" s="131"/>
      <c r="J46" s="3"/>
      <c r="K46" s="131"/>
      <c r="L46" s="3"/>
      <c r="M46" s="131"/>
      <c r="N46" s="3"/>
      <c r="O46" s="131"/>
      <c r="P46" s="3"/>
      <c r="Q46" s="131"/>
      <c r="R46" s="3"/>
      <c r="S46" s="131"/>
      <c r="T46" s="3"/>
      <c r="U46" s="131"/>
      <c r="W46" s="131"/>
      <c r="X46" s="3"/>
      <c r="Y46" s="131"/>
      <c r="Z46" s="3"/>
      <c r="AA46" s="131"/>
      <c r="AB46" s="3"/>
      <c r="AC46" s="131"/>
      <c r="AD46" s="3"/>
      <c r="AE46" s="131"/>
      <c r="AF46" s="3"/>
      <c r="AG46" s="131"/>
      <c r="AH46" s="3"/>
      <c r="AI46" s="131"/>
    </row>
    <row r="47" spans="1:35" x14ac:dyDescent="0.25">
      <c r="A47" s="123"/>
      <c r="B47" s="123"/>
      <c r="C47" s="248"/>
      <c r="D47" s="123"/>
      <c r="E47" s="248"/>
      <c r="F47" s="123"/>
      <c r="G47" s="248"/>
      <c r="H47" s="123"/>
      <c r="I47" s="248"/>
      <c r="J47" s="123"/>
      <c r="K47" s="248"/>
      <c r="L47" s="123"/>
      <c r="M47" s="248"/>
      <c r="N47" s="123"/>
      <c r="O47" s="248"/>
      <c r="P47" s="123"/>
    </row>
    <row r="48" spans="1:35" x14ac:dyDescent="0.25">
      <c r="A48" s="3" t="s">
        <v>53</v>
      </c>
    </row>
    <row r="49" spans="1:1" x14ac:dyDescent="0.25">
      <c r="A49" s="9" t="s">
        <v>204</v>
      </c>
    </row>
  </sheetData>
  <mergeCells count="1">
    <mergeCell ref="A1:AI1"/>
  </mergeCells>
  <phoneticPr fontId="2" type="noConversion"/>
  <hyperlinks>
    <hyperlink ref="A49" location="Übersicht!A1" display="zurück zur Übersicht!"/>
  </hyperlinks>
  <printOptions horizontalCentered="1" verticalCentered="1"/>
  <pageMargins left="0.39370078740157483" right="0.39370078740157483" top="0.98425196850393704" bottom="0.39370078740157483" header="0.78740157480314965" footer="0"/>
  <pageSetup paperSize="9" scale="64" orientation="landscape" verticalDpi="300" r:id="rId1"/>
  <headerFooter alignWithMargins="0">
    <oddHeader>&amp;L&amp;"PT Sans,Standard"Fachbereich 9&amp;R&amp;"PT Sans,Standard"&amp;A</oddHeader>
    <oddFooter>&amp;C&amp;"PT Sans,Standard"Seite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31</vt:i4>
      </vt:variant>
    </vt:vector>
  </HeadingPairs>
  <TitlesOfParts>
    <vt:vector size="65" baseType="lpstr">
      <vt:lpstr>Übersicht</vt:lpstr>
      <vt:lpstr>Anlage 1a</vt:lpstr>
      <vt:lpstr>Anlage 1b</vt:lpstr>
      <vt:lpstr>Anlage 1c</vt:lpstr>
      <vt:lpstr>Anlage 1d</vt:lpstr>
      <vt:lpstr>Anlage 1e</vt:lpstr>
      <vt:lpstr>Anlage 1f</vt:lpstr>
      <vt:lpstr>Anlage 1g</vt:lpstr>
      <vt:lpstr>Anlage 1.2</vt:lpstr>
      <vt:lpstr>Anlage 2 a</vt:lpstr>
      <vt:lpstr>Anlage 5.1</vt:lpstr>
      <vt:lpstr>Anlage 5.2</vt:lpstr>
      <vt:lpstr>Anlage 5.3</vt:lpstr>
      <vt:lpstr>Anlage 5.4</vt:lpstr>
      <vt:lpstr>Anlage 5.5</vt:lpstr>
      <vt:lpstr>Anlage 6.1</vt:lpstr>
      <vt:lpstr>Anlage 6.2</vt:lpstr>
      <vt:lpstr>Anlage 6.3</vt:lpstr>
      <vt:lpstr>Anlage 6.4</vt:lpstr>
      <vt:lpstr>Anlage 6.5</vt:lpstr>
      <vt:lpstr>Anlage 6.6</vt:lpstr>
      <vt:lpstr>Anlage 6.7</vt:lpstr>
      <vt:lpstr>Anlage 6.8</vt:lpstr>
      <vt:lpstr>Anlage 6.9</vt:lpstr>
      <vt:lpstr>Anlage 6.10</vt:lpstr>
      <vt:lpstr>Anlage 6.11</vt:lpstr>
      <vt:lpstr>Anlage 6.12</vt:lpstr>
      <vt:lpstr>Anlage 6.13</vt:lpstr>
      <vt:lpstr>Anlage 6.14</vt:lpstr>
      <vt:lpstr>Anlage 6.15</vt:lpstr>
      <vt:lpstr>Anlage 6.16</vt:lpstr>
      <vt:lpstr>Anlage 6.17</vt:lpstr>
      <vt:lpstr>Anlage 6.18</vt:lpstr>
      <vt:lpstr>Anlage 6.19</vt:lpstr>
      <vt:lpstr>'Anlage 1.2'!Druckbereich</vt:lpstr>
      <vt:lpstr>'Anlage 1a'!Druckbereich</vt:lpstr>
      <vt:lpstr>'Anlage 1b'!Druckbereich</vt:lpstr>
      <vt:lpstr>'Anlage 1c'!Druckbereich</vt:lpstr>
      <vt:lpstr>'Anlage 1d'!Druckbereich</vt:lpstr>
      <vt:lpstr>'Anlage 2 a'!Druckbereich</vt:lpstr>
      <vt:lpstr>'Anlage 5.1'!Druckbereich</vt:lpstr>
      <vt:lpstr>'Anlage 5.2'!Druckbereich</vt:lpstr>
      <vt:lpstr>'Anlage 5.3'!Druckbereich</vt:lpstr>
      <vt:lpstr>'Anlage 5.4'!Druckbereich</vt:lpstr>
      <vt:lpstr>'Anlage 5.5'!Druckbereich</vt:lpstr>
      <vt:lpstr>'Anlage 6.1'!Druckbereich</vt:lpstr>
      <vt:lpstr>'Anlage 6.10'!Druckbereich</vt:lpstr>
      <vt:lpstr>'Anlage 6.11'!Druckbereich</vt:lpstr>
      <vt:lpstr>'Anlage 6.12'!Druckbereich</vt:lpstr>
      <vt:lpstr>'Anlage 6.13'!Druckbereich</vt:lpstr>
      <vt:lpstr>'Anlage 6.14'!Druckbereich</vt:lpstr>
      <vt:lpstr>'Anlage 6.15'!Druckbereich</vt:lpstr>
      <vt:lpstr>'Anlage 6.16'!Druckbereich</vt:lpstr>
      <vt:lpstr>'Anlage 6.17'!Druckbereich</vt:lpstr>
      <vt:lpstr>'Anlage 6.18'!Druckbereich</vt:lpstr>
      <vt:lpstr>'Anlage 6.19'!Druckbereich</vt:lpstr>
      <vt:lpstr>'Anlage 6.2'!Druckbereich</vt:lpstr>
      <vt:lpstr>'Anlage 6.3'!Druckbereich</vt:lpstr>
      <vt:lpstr>'Anlage 6.4'!Druckbereich</vt:lpstr>
      <vt:lpstr>'Anlage 6.5'!Druckbereich</vt:lpstr>
      <vt:lpstr>'Anlage 6.6'!Druckbereich</vt:lpstr>
      <vt:lpstr>'Anlage 6.7'!Druckbereich</vt:lpstr>
      <vt:lpstr>'Anlage 6.8'!Druckbereich</vt:lpstr>
      <vt:lpstr>'Anlage 6.9'!Druckbereich</vt:lpstr>
      <vt:lpstr>Übersicht!Druckbereich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Schlegel</dc:creator>
  <cp:lastModifiedBy>Elke Röder-Wetzel</cp:lastModifiedBy>
  <cp:lastPrinted>2020-05-18T09:11:27Z</cp:lastPrinted>
  <dcterms:created xsi:type="dcterms:W3CDTF">2002-02-22T09:21:10Z</dcterms:created>
  <dcterms:modified xsi:type="dcterms:W3CDTF">2021-03-19T09:46:57Z</dcterms:modified>
</cp:coreProperties>
</file>